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HUY\NĂM 2024\CÔNG KHAI 2023\"/>
    </mc:Choice>
  </mc:AlternateContent>
  <bookViews>
    <workbookView xWindow="0" yWindow="0" windowWidth="20490" windowHeight="7755" activeTab="2"/>
  </bookViews>
  <sheets>
    <sheet name="Mãu 3" sheetId="1" r:id="rId1"/>
    <sheet name="Mẫu 2" sheetId="8" r:id="rId2"/>
    <sheet name="mãu 4" sheetId="2" r:id="rId3"/>
    <sheet name="MẪU 01-2024" sheetId="7" r:id="rId4"/>
  </sheets>
  <definedNames>
    <definedName name="chuong_pl_3" localSheetId="0">'Mãu 3'!$H$1</definedName>
    <definedName name="chuong_pl_3_name" localSheetId="0">'Mãu 3'!$A$3</definedName>
    <definedName name="chuong_pl_4" localSheetId="2">'mãu 4'!$E$1</definedName>
    <definedName name="chuong_pl_4_name" localSheetId="2">'mãu 4'!$A$3</definedName>
    <definedName name="chuong_pl_4_name_name" localSheetId="2">'mãu 4'!$A$4</definedName>
    <definedName name="_xlnm.Print_Titles" localSheetId="3">'MẪU 01-2024'!$7:$7</definedName>
    <definedName name="_xlnm.Print_Titles" localSheetId="0">'Mãu 3'!$6:$7</definedName>
    <definedName name="_xlnm.Print_Titles" localSheetId="2">'mãu 4'!$7:$7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8" l="1"/>
  <c r="E50" i="8"/>
  <c r="F50" i="8"/>
  <c r="C50" i="8"/>
  <c r="D45" i="8"/>
  <c r="E45" i="8"/>
  <c r="F45" i="8"/>
  <c r="C45" i="8"/>
  <c r="D40" i="8"/>
  <c r="E40" i="8"/>
  <c r="F40" i="8"/>
  <c r="C40" i="8"/>
  <c r="D35" i="8"/>
  <c r="E35" i="8"/>
  <c r="F35" i="8"/>
  <c r="C35" i="8"/>
  <c r="D28" i="8"/>
  <c r="E28" i="8"/>
  <c r="F28" i="8"/>
  <c r="C28" i="8"/>
  <c r="D23" i="8"/>
  <c r="E23" i="8"/>
  <c r="F23" i="8"/>
  <c r="C23" i="8"/>
  <c r="D16" i="8"/>
  <c r="E16" i="8"/>
  <c r="F16" i="8"/>
  <c r="C16" i="8"/>
  <c r="D12" i="8"/>
  <c r="E12" i="8"/>
  <c r="E11" i="8" s="1"/>
  <c r="E10" i="8" s="1"/>
  <c r="F12" i="8"/>
  <c r="C12" i="8"/>
  <c r="C11" i="8" s="1"/>
  <c r="C10" i="8" s="1"/>
  <c r="G90" i="1"/>
  <c r="F90" i="1"/>
  <c r="I83" i="1"/>
  <c r="G83" i="1"/>
  <c r="E83" i="1"/>
  <c r="E79" i="1"/>
  <c r="D78" i="1"/>
  <c r="E77" i="1"/>
  <c r="D77" i="1"/>
  <c r="E76" i="1"/>
  <c r="D76" i="1"/>
  <c r="E75" i="1"/>
  <c r="E74" i="1"/>
  <c r="H73" i="1"/>
  <c r="H72" i="1"/>
  <c r="E69" i="1"/>
  <c r="D69" i="1"/>
  <c r="E68" i="1"/>
  <c r="E66" i="1"/>
  <c r="D60" i="1"/>
  <c r="E56" i="1"/>
  <c r="D56" i="1"/>
  <c r="E55" i="1"/>
  <c r="D55" i="1"/>
  <c r="D46" i="1"/>
  <c r="H45" i="1"/>
  <c r="F45" i="1"/>
  <c r="E45" i="1"/>
  <c r="D45" i="1"/>
  <c r="E40" i="1"/>
  <c r="F40" i="1"/>
  <c r="G40" i="1"/>
  <c r="D41" i="1"/>
  <c r="E41" i="1"/>
  <c r="E35" i="1"/>
  <c r="E32" i="1"/>
  <c r="D33" i="1"/>
  <c r="E31" i="1"/>
  <c r="D31" i="1"/>
  <c r="E30" i="1"/>
  <c r="E23" i="1"/>
  <c r="H22" i="1"/>
  <c r="E22" i="1"/>
  <c r="H21" i="1"/>
  <c r="G21" i="1"/>
  <c r="F21" i="1"/>
  <c r="E21" i="1"/>
  <c r="E19" i="1"/>
  <c r="D19" i="1"/>
  <c r="H14" i="1"/>
  <c r="F14" i="1"/>
  <c r="H13" i="1"/>
  <c r="D13" i="1"/>
  <c r="F11" i="8" l="1"/>
  <c r="F10" i="8" s="1"/>
  <c r="D11" i="8"/>
  <c r="D10" i="8" s="1"/>
  <c r="F89" i="1"/>
  <c r="F88" i="1" s="1"/>
  <c r="G89" i="1"/>
  <c r="G88" i="1" s="1"/>
  <c r="H89" i="1"/>
  <c r="H88" i="1" s="1"/>
  <c r="I89" i="1"/>
  <c r="I88" i="1" s="1"/>
  <c r="F86" i="1"/>
  <c r="F85" i="1" s="1"/>
  <c r="G86" i="1"/>
  <c r="G85" i="1" s="1"/>
  <c r="H86" i="1"/>
  <c r="H85" i="1" s="1"/>
  <c r="I86" i="1"/>
  <c r="I85" i="1" s="1"/>
  <c r="F82" i="1"/>
  <c r="G82" i="1"/>
  <c r="H82" i="1"/>
  <c r="I82" i="1"/>
  <c r="F80" i="1"/>
  <c r="G80" i="1"/>
  <c r="H80" i="1"/>
  <c r="I80" i="1"/>
  <c r="F71" i="1"/>
  <c r="G71" i="1"/>
  <c r="H71" i="1"/>
  <c r="I71" i="1"/>
  <c r="F67" i="1"/>
  <c r="G67" i="1"/>
  <c r="H67" i="1"/>
  <c r="I67" i="1"/>
  <c r="F65" i="1"/>
  <c r="F64" i="1" s="1"/>
  <c r="F63" i="1" s="1"/>
  <c r="G65" i="1"/>
  <c r="H65" i="1"/>
  <c r="I65" i="1"/>
  <c r="F59" i="1"/>
  <c r="G59" i="1"/>
  <c r="H59" i="1"/>
  <c r="H57" i="1" s="1"/>
  <c r="I59" i="1"/>
  <c r="I57" i="1" s="1"/>
  <c r="F57" i="1"/>
  <c r="G57" i="1"/>
  <c r="F53" i="1"/>
  <c r="G53" i="1"/>
  <c r="G49" i="1" s="1"/>
  <c r="H53" i="1"/>
  <c r="H49" i="1" s="1"/>
  <c r="I53" i="1"/>
  <c r="I49" i="1" s="1"/>
  <c r="F49" i="1"/>
  <c r="F44" i="1"/>
  <c r="F42" i="1" s="1"/>
  <c r="G44" i="1"/>
  <c r="H44" i="1"/>
  <c r="H42" i="1" s="1"/>
  <c r="I44" i="1"/>
  <c r="I42" i="1" s="1"/>
  <c r="G42" i="1"/>
  <c r="F38" i="1"/>
  <c r="G38" i="1"/>
  <c r="H38" i="1"/>
  <c r="I38" i="1"/>
  <c r="F29" i="1"/>
  <c r="G29" i="1"/>
  <c r="H29" i="1"/>
  <c r="I29" i="1"/>
  <c r="I190" i="1"/>
  <c r="I184" i="1"/>
  <c r="I172" i="1"/>
  <c r="I167" i="1"/>
  <c r="I162" i="1"/>
  <c r="I156" i="1"/>
  <c r="I152" i="1"/>
  <c r="I146" i="1"/>
  <c r="G190" i="1"/>
  <c r="G184" i="1"/>
  <c r="G172" i="1"/>
  <c r="G167" i="1"/>
  <c r="G162" i="1"/>
  <c r="G156" i="1"/>
  <c r="G152" i="1"/>
  <c r="G146" i="1"/>
  <c r="G64" i="1" l="1"/>
  <c r="G63" i="1" s="1"/>
  <c r="H64" i="1"/>
  <c r="H63" i="1" s="1"/>
  <c r="I64" i="1"/>
  <c r="I63" i="1" s="1"/>
  <c r="D10" i="2"/>
  <c r="D9" i="2" s="1"/>
  <c r="E10" i="2"/>
  <c r="E9" i="2" s="1"/>
  <c r="C10" i="2"/>
  <c r="C9" i="2" s="1"/>
  <c r="D19" i="2"/>
  <c r="E19" i="2"/>
  <c r="C19" i="2"/>
  <c r="D29" i="2"/>
  <c r="E29" i="2"/>
  <c r="C29" i="2"/>
  <c r="F31" i="2"/>
  <c r="F30" i="2"/>
  <c r="F28" i="2"/>
  <c r="F23" i="2"/>
  <c r="F18" i="2"/>
  <c r="F17" i="2"/>
  <c r="F16" i="2"/>
  <c r="F15" i="2"/>
  <c r="D190" i="1" l="1"/>
  <c r="E190" i="1"/>
  <c r="F190" i="1"/>
  <c r="H190" i="1"/>
  <c r="D184" i="1"/>
  <c r="E184" i="1"/>
  <c r="F184" i="1"/>
  <c r="H184" i="1"/>
  <c r="D172" i="1"/>
  <c r="E172" i="1"/>
  <c r="F172" i="1"/>
  <c r="H172" i="1"/>
  <c r="D167" i="1"/>
  <c r="E167" i="1"/>
  <c r="F167" i="1"/>
  <c r="H167" i="1"/>
  <c r="D162" i="1"/>
  <c r="E162" i="1"/>
  <c r="F162" i="1"/>
  <c r="H162" i="1"/>
  <c r="D156" i="1"/>
  <c r="E156" i="1"/>
  <c r="F156" i="1"/>
  <c r="H156" i="1"/>
  <c r="D152" i="1"/>
  <c r="E152" i="1"/>
  <c r="F152" i="1"/>
  <c r="H152" i="1"/>
  <c r="D146" i="1"/>
  <c r="E146" i="1"/>
  <c r="F146" i="1"/>
  <c r="H146" i="1"/>
  <c r="D139" i="1"/>
  <c r="D138" i="1" s="1"/>
  <c r="E139" i="1"/>
  <c r="F139" i="1"/>
  <c r="G139" i="1"/>
  <c r="H139" i="1"/>
  <c r="I139" i="1"/>
  <c r="D132" i="1"/>
  <c r="E132" i="1"/>
  <c r="F132" i="1"/>
  <c r="G132" i="1"/>
  <c r="H132" i="1"/>
  <c r="I132" i="1"/>
  <c r="D126" i="1"/>
  <c r="E126" i="1"/>
  <c r="F126" i="1"/>
  <c r="G126" i="1"/>
  <c r="H126" i="1"/>
  <c r="I126" i="1"/>
  <c r="D118" i="1"/>
  <c r="E118" i="1"/>
  <c r="F118" i="1"/>
  <c r="G118" i="1"/>
  <c r="H118" i="1"/>
  <c r="I118" i="1"/>
  <c r="D113" i="1"/>
  <c r="F113" i="1"/>
  <c r="G113" i="1"/>
  <c r="H113" i="1"/>
  <c r="I113" i="1"/>
  <c r="D108" i="1"/>
  <c r="E108" i="1"/>
  <c r="F108" i="1"/>
  <c r="G108" i="1"/>
  <c r="H108" i="1"/>
  <c r="I108" i="1"/>
  <c r="D105" i="1"/>
  <c r="E105" i="1"/>
  <c r="F105" i="1"/>
  <c r="G105" i="1"/>
  <c r="H105" i="1"/>
  <c r="I105" i="1"/>
  <c r="D99" i="1"/>
  <c r="E99" i="1"/>
  <c r="F99" i="1"/>
  <c r="G99" i="1"/>
  <c r="H99" i="1"/>
  <c r="I99" i="1"/>
  <c r="D95" i="1"/>
  <c r="E95" i="1"/>
  <c r="F95" i="1"/>
  <c r="G95" i="1"/>
  <c r="H95" i="1"/>
  <c r="I95" i="1"/>
  <c r="D92" i="1"/>
  <c r="D91" i="1" s="1"/>
  <c r="E92" i="1"/>
  <c r="E91" i="1" s="1"/>
  <c r="F92" i="1"/>
  <c r="F91" i="1" s="1"/>
  <c r="G92" i="1"/>
  <c r="G91" i="1" s="1"/>
  <c r="H92" i="1"/>
  <c r="H91" i="1" s="1"/>
  <c r="I92" i="1"/>
  <c r="I91" i="1" s="1"/>
  <c r="D89" i="1"/>
  <c r="D88" i="1" s="1"/>
  <c r="E89" i="1"/>
  <c r="E88" i="1" s="1"/>
  <c r="D86" i="1"/>
  <c r="D85" i="1" s="1"/>
  <c r="E86" i="1"/>
  <c r="E85" i="1" s="1"/>
  <c r="D82" i="1"/>
  <c r="E82" i="1"/>
  <c r="C82" i="1"/>
  <c r="E29" i="1"/>
  <c r="E115" i="1"/>
  <c r="E113" i="1" s="1"/>
  <c r="E114" i="1"/>
  <c r="E80" i="1"/>
  <c r="E71" i="1"/>
  <c r="E67" i="1"/>
  <c r="E65" i="1"/>
  <c r="E59" i="1"/>
  <c r="E57" i="1" s="1"/>
  <c r="E53" i="1"/>
  <c r="E49" i="1"/>
  <c r="E44" i="1"/>
  <c r="E42" i="1"/>
  <c r="E38" i="1"/>
  <c r="D20" i="1"/>
  <c r="F20" i="1"/>
  <c r="G20" i="1"/>
  <c r="H20" i="1"/>
  <c r="I20" i="1"/>
  <c r="D18" i="1"/>
  <c r="E18" i="1"/>
  <c r="F18" i="1"/>
  <c r="F17" i="1" s="1"/>
  <c r="F16" i="1" s="1"/>
  <c r="G18" i="1"/>
  <c r="H18" i="1"/>
  <c r="I18" i="1"/>
  <c r="D12" i="1"/>
  <c r="E12" i="1"/>
  <c r="F12" i="1"/>
  <c r="G12" i="1"/>
  <c r="H12" i="1"/>
  <c r="I12" i="1"/>
  <c r="C190" i="1"/>
  <c r="C184" i="1"/>
  <c r="C172" i="1"/>
  <c r="C167" i="1"/>
  <c r="C162" i="1"/>
  <c r="C156" i="1"/>
  <c r="C152" i="1"/>
  <c r="C146" i="1"/>
  <c r="C139" i="1"/>
  <c r="C132" i="1"/>
  <c r="C126" i="1"/>
  <c r="C118" i="1"/>
  <c r="C113" i="1"/>
  <c r="C108" i="1"/>
  <c r="C105" i="1"/>
  <c r="C99" i="1"/>
  <c r="C95" i="1"/>
  <c r="C92" i="1"/>
  <c r="C91" i="1" s="1"/>
  <c r="C89" i="1"/>
  <c r="C88" i="1" s="1"/>
  <c r="C86" i="1"/>
  <c r="C85" i="1" s="1"/>
  <c r="C80" i="1"/>
  <c r="C71" i="1"/>
  <c r="C67" i="1"/>
  <c r="C65" i="1"/>
  <c r="C59" i="1"/>
  <c r="C57" i="1" s="1"/>
  <c r="C53" i="1"/>
  <c r="C49" i="1" s="1"/>
  <c r="C44" i="1"/>
  <c r="C42" i="1" s="1"/>
  <c r="C38" i="1"/>
  <c r="C29" i="1"/>
  <c r="C20" i="1"/>
  <c r="C18" i="1"/>
  <c r="C12" i="1"/>
  <c r="D80" i="1"/>
  <c r="D71" i="1"/>
  <c r="D67" i="1"/>
  <c r="D65" i="1"/>
  <c r="D59" i="1"/>
  <c r="D57" i="1"/>
  <c r="D53" i="1"/>
  <c r="D49" i="1" s="1"/>
  <c r="D44" i="1"/>
  <c r="D42" i="1" s="1"/>
  <c r="D38" i="1"/>
  <c r="D29" i="1"/>
  <c r="C94" i="1" l="1"/>
  <c r="D64" i="1"/>
  <c r="D63" i="1" s="1"/>
  <c r="C64" i="1"/>
  <c r="C63" i="1" s="1"/>
  <c r="E94" i="1"/>
  <c r="E84" i="1" s="1"/>
  <c r="C17" i="1"/>
  <c r="C16" i="1" s="1"/>
  <c r="C138" i="1"/>
  <c r="C84" i="1" s="1"/>
  <c r="H94" i="1"/>
  <c r="D94" i="1"/>
  <c r="D84" i="1" s="1"/>
  <c r="H138" i="1"/>
  <c r="D27" i="1"/>
  <c r="D26" i="1" s="1"/>
  <c r="C27" i="1"/>
  <c r="C26" i="1" s="1"/>
  <c r="D17" i="1"/>
  <c r="D16" i="1" s="1"/>
  <c r="D11" i="1" s="1"/>
  <c r="H17" i="1"/>
  <c r="H16" i="1" s="1"/>
  <c r="H11" i="1" s="1"/>
  <c r="H10" i="1" s="1"/>
  <c r="I94" i="1"/>
  <c r="I17" i="1"/>
  <c r="I16" i="1" s="1"/>
  <c r="I11" i="1" s="1"/>
  <c r="I10" i="1" s="1"/>
  <c r="I138" i="1"/>
  <c r="E138" i="1"/>
  <c r="G138" i="1"/>
  <c r="F138" i="1"/>
  <c r="F94" i="1"/>
  <c r="G94" i="1"/>
  <c r="E64" i="1"/>
  <c r="E63" i="1" s="1"/>
  <c r="E27" i="1"/>
  <c r="G17" i="1"/>
  <c r="G16" i="1" s="1"/>
  <c r="G11" i="1" s="1"/>
  <c r="G10" i="1" s="1"/>
  <c r="F11" i="1"/>
  <c r="F10" i="1" s="1"/>
  <c r="C11" i="1"/>
  <c r="D85" i="7"/>
  <c r="D76" i="7"/>
  <c r="D75" i="7" s="1"/>
  <c r="D73" i="7"/>
  <c r="D72" i="7" s="1"/>
  <c r="D65" i="7"/>
  <c r="D64" i="7" s="1"/>
  <c r="D62" i="7"/>
  <c r="D60" i="7"/>
  <c r="D56" i="7"/>
  <c r="D54" i="7"/>
  <c r="D53" i="7" s="1"/>
  <c r="D41" i="7"/>
  <c r="D40" i="7"/>
  <c r="D38" i="7"/>
  <c r="D36" i="7"/>
  <c r="D34" i="7"/>
  <c r="D26" i="7"/>
  <c r="D25" i="7" s="1"/>
  <c r="D22" i="7"/>
  <c r="D20" i="7"/>
  <c r="D19" i="7" s="1"/>
  <c r="D15" i="7"/>
  <c r="D14" i="7" s="1"/>
  <c r="C85" i="7"/>
  <c r="C76" i="7"/>
  <c r="C75" i="7"/>
  <c r="C73" i="7"/>
  <c r="C72" i="7" s="1"/>
  <c r="C65" i="7"/>
  <c r="C64" i="7"/>
  <c r="C62" i="7"/>
  <c r="C60" i="7"/>
  <c r="C56" i="7"/>
  <c r="C54" i="7"/>
  <c r="C53" i="7"/>
  <c r="C41" i="7"/>
  <c r="C40" i="7"/>
  <c r="C38" i="7"/>
  <c r="C36" i="7"/>
  <c r="C25" i="7" s="1"/>
  <c r="C24" i="7" s="1"/>
  <c r="C34" i="7"/>
  <c r="C26" i="7"/>
  <c r="C22" i="7"/>
  <c r="C20" i="7"/>
  <c r="C19" i="7"/>
  <c r="C15" i="7"/>
  <c r="C14" i="7" s="1"/>
  <c r="C13" i="7" s="1"/>
  <c r="C11" i="7" s="1"/>
  <c r="F84" i="1" l="1"/>
  <c r="F9" i="1" s="1"/>
  <c r="H84" i="1"/>
  <c r="H9" i="1" s="1"/>
  <c r="I84" i="1"/>
  <c r="G84" i="1"/>
  <c r="D10" i="1"/>
  <c r="D9" i="1" s="1"/>
  <c r="C10" i="1"/>
  <c r="C9" i="1" s="1"/>
  <c r="I9" i="1"/>
  <c r="G9" i="1"/>
  <c r="E26" i="1"/>
  <c r="D24" i="7"/>
  <c r="D13" i="7"/>
  <c r="D11" i="7" s="1"/>
  <c r="D10" i="7" s="1"/>
  <c r="D9" i="7" s="1"/>
  <c r="C10" i="7"/>
  <c r="C9" i="7" s="1"/>
  <c r="E20" i="1" l="1"/>
  <c r="E17" i="1" s="1"/>
  <c r="E16" i="1" s="1"/>
  <c r="E11" i="1" s="1"/>
  <c r="E10" i="1" s="1"/>
  <c r="E9" i="1" s="1"/>
  <c r="F12" i="2" l="1"/>
  <c r="F13" i="2"/>
  <c r="F14" i="2"/>
  <c r="F20" i="2"/>
  <c r="F21" i="2"/>
  <c r="F22" i="2"/>
  <c r="F24" i="2"/>
  <c r="F25" i="2"/>
  <c r="F26" i="2"/>
  <c r="F27" i="2"/>
  <c r="F32" i="2"/>
  <c r="F33" i="2"/>
  <c r="F11" i="2"/>
  <c r="F10" i="2" s="1"/>
  <c r="F19" i="2" l="1"/>
  <c r="F9" i="2" s="1"/>
  <c r="F29" i="2"/>
</calcChain>
</file>

<file path=xl/sharedStrings.xml><?xml version="1.0" encoding="utf-8"?>
<sst xmlns="http://schemas.openxmlformats.org/spreadsheetml/2006/main" count="657" uniqueCount="390">
  <si>
    <t>Biểu mẫu : 03/CKTC-ĐTXD</t>
  </si>
  <si>
    <t>Đơn vị: Triệu đồng</t>
  </si>
  <si>
    <t>Tổng dự toán được duyệt</t>
  </si>
  <si>
    <t>Giá trị khối lượng hoàn thành đã nghiệm thu</t>
  </si>
  <si>
    <t>Vốn đã thanh toán</t>
  </si>
  <si>
    <t>Ghi chú</t>
  </si>
  <si>
    <t>Lũy kế từ khởi công</t>
  </si>
  <si>
    <t>Lũy kế từ đầu năm</t>
  </si>
  <si>
    <t>I</t>
  </si>
  <si>
    <t>II</t>
  </si>
  <si>
    <t>Vốn chuẩn bị đầu tư</t>
  </si>
  <si>
    <t>III</t>
  </si>
  <si>
    <t>A</t>
  </si>
  <si>
    <t>B</t>
  </si>
  <si>
    <t>C</t>
  </si>
  <si>
    <t>Stt</t>
  </si>
  <si>
    <t>Nội dung</t>
  </si>
  <si>
    <t>II.1</t>
  </si>
  <si>
    <t>II.2</t>
  </si>
  <si>
    <t>II.3</t>
  </si>
  <si>
    <t>Biểu mẫu : 04/CKTC-ĐTXD</t>
  </si>
  <si>
    <t>CÔNG KHAI TÌNH HÌNH PHÊ DUYỆT QUYẾT TOÁN</t>
  </si>
  <si>
    <t>TMĐT được duyệt</t>
  </si>
  <si>
    <t>Giá trị đề nghị QT của chủ đầu tư</t>
  </si>
  <si>
    <t>Giá trị quyết toán được duyệt</t>
  </si>
  <si>
    <t>Chênh lệch</t>
  </si>
  <si>
    <t>TỔNG CỘNG</t>
  </si>
  <si>
    <t>Hạ tầng kỹ thuật khu dân cư NLK4 thị trấn Phú Hòa</t>
  </si>
  <si>
    <t>Khép kín khu dân cư xã Hòa Định Đông (đối diện trường Trần Quốc Tuấn)</t>
  </si>
  <si>
    <t>Vốn thực hiện đầu tư</t>
  </si>
  <si>
    <t>Đường giao thông nội thị thị trấn Phú Hòa; trục Đông - Tây nối dài</t>
  </si>
  <si>
    <t>Biểu mẫu : 01/CKTC-ĐTXD</t>
  </si>
  <si>
    <t>ĐVT: Triệu đồng</t>
  </si>
  <si>
    <t>Dự án</t>
  </si>
  <si>
    <t>Kế hoạch nhà nước giao</t>
  </si>
  <si>
    <t>Phân bổ vốn đầu tư</t>
  </si>
  <si>
    <t>Chủ đầu tư</t>
  </si>
  <si>
    <t>Vốn huy động từ quỹ đất</t>
  </si>
  <si>
    <t>Khu Trung tâm thương mại TM1 (chợ Bầu Đục mới)</t>
  </si>
  <si>
    <t>Hạng mục khu tái định cư xã Hòa An phục vụ cho dự án cải tạo nâng cấp các đoạn xung yếu trên QL 25 thuộc địa bàn huyện Phú Hòa (giai đoạn 2)</t>
  </si>
  <si>
    <t>II.5</t>
  </si>
  <si>
    <t xml:space="preserve">CÔNG KHAI VỀ KẾ HOẠCH VỐN ĐẦU TƯ NHÀ NƯỚC GIAO </t>
  </si>
  <si>
    <t>Các dự án chuyển tiếp</t>
  </si>
  <si>
    <t>Giao thông</t>
  </si>
  <si>
    <t>Các dự án khởi công mới</t>
  </si>
  <si>
    <t>1</t>
  </si>
  <si>
    <t>A.1</t>
  </si>
  <si>
    <t>A.2</t>
  </si>
  <si>
    <t>A.1.1</t>
  </si>
  <si>
    <t>A.1.2</t>
  </si>
  <si>
    <t>Cầu qua kênh chính bắc và đường dẫn vào trục Đông - Tây thị trấn</t>
  </si>
  <si>
    <t>Đường giao thông nội thị thị trấn Phú Hòa; tuyến đường D5</t>
  </si>
  <si>
    <t>Giáo dục</t>
  </si>
  <si>
    <t>Thương mại</t>
  </si>
  <si>
    <t>Các lĩnh vực khác</t>
  </si>
  <si>
    <t>Hạ tầng kỹ thuật các khu dân cư mới</t>
  </si>
  <si>
    <t>Đường giao thông Hòa Quang Bắc- Hòa Quang Nam (đoạn Hòa Định Đông- Thị trấn Phú Hòa)</t>
  </si>
  <si>
    <t>Môi trường</t>
  </si>
  <si>
    <t xml:space="preserve">Khép kín khu dân cư chùa Tuyết Lãnh Sơn </t>
  </si>
  <si>
    <t>Vốn NS Tỉnh hỗ trợ</t>
  </si>
  <si>
    <t xml:space="preserve">TỔNG SỐ </t>
  </si>
  <si>
    <t>2</t>
  </si>
  <si>
    <t>Đường giao thông nội thị thị trấn Phú Hòa; tuyến đường D3</t>
  </si>
  <si>
    <t>3</t>
  </si>
  <si>
    <t>Đường giao thông nội thị thị trấn Phú Hòa; tuyến đường N4 (đoạn từ đường 21,25m đến giáp đường Đông- Tây)</t>
  </si>
  <si>
    <t>Đường giao thông nội thị thị trấn Phú Hòa; tuyến từ G49-G64</t>
  </si>
  <si>
    <t>Đường giao thông nội thị thị trấn Phú Hòa; tuyến từ đường Bắc - Nam đến đường R4</t>
  </si>
  <si>
    <t xml:space="preserve">Xây dựng trường THCS Hòa Định Đông </t>
  </si>
  <si>
    <t>Hạ tầng kỹ thuật khu dân cư NV1, NV2, NV3, NV4 thị trấn Phú Hòa</t>
  </si>
  <si>
    <t>Khép kín thu dân cư thôn Cẩm Thạch (giai đoạn 2)</t>
  </si>
  <si>
    <t>Khép kín khu dân cư phía tây nhà ông Tô Thắng - Phụng tường 1</t>
  </si>
  <si>
    <t>Khép kín khu dân cư phía Nam An Thịnh thuộc khu đất O27 (đồ án quy hoạch Bắc Sông Ba)</t>
  </si>
  <si>
    <t>Khép kín khu dân cư phía Nam THACO  Trường Hải thuộc khu đất O28 (đồ án quy hoạch Bắc Sông Ba)</t>
  </si>
  <si>
    <t>Sửa chữa, nâng cấp đường ĐH24 (đoạn từ ĐH22 - Quốc lộ 25)</t>
  </si>
  <si>
    <t>Xây dựng Hồ sinh thái thị trấn</t>
  </si>
  <si>
    <t>Quy hoạch</t>
  </si>
  <si>
    <t>xã Hòa Trị</t>
  </si>
  <si>
    <t>xã Hòa Thắng</t>
  </si>
  <si>
    <t>xã Hòa Quang Bắc</t>
  </si>
  <si>
    <t>6</t>
  </si>
  <si>
    <t>xã Hòa Định Đông</t>
  </si>
  <si>
    <t>xã Hòa Định Tây</t>
  </si>
  <si>
    <t>xã Hòa Hội</t>
  </si>
  <si>
    <t>Dự án 1: Giải quyết tình trạng thiếu đất ở, nhà ở, đất sản xuất, nước sinh hoạt</t>
  </si>
  <si>
    <t>Dự án 6: Bảo tồn, phát huy giá trị văn hóa truyền thống tốt đẹp của các dân tộc thiểu số gắn với phát triển du lịch</t>
  </si>
  <si>
    <t>BQL dự án ĐTXD</t>
  </si>
  <si>
    <t>Phòng Kinh tế và Hạ tầng</t>
  </si>
  <si>
    <t>UBND xã Hòa Trị</t>
  </si>
  <si>
    <t>UBND xã Hòa Thắng</t>
  </si>
  <si>
    <t>UBND xã Hòa An</t>
  </si>
  <si>
    <t>UBND xã Hòa Quang Nam</t>
  </si>
  <si>
    <t>UBND xã Hòa Quang Bắc</t>
  </si>
  <si>
    <t>UBND xã Hòa Định Đông</t>
  </si>
  <si>
    <t>UBND xã Hòa Định Tây</t>
  </si>
  <si>
    <t>UBND xã Hòa Hội</t>
  </si>
  <si>
    <t>Khu giết mổ gia súc tập trung</t>
  </si>
  <si>
    <t>Mở rộng khép kín khu dân cư phía Tây chợ Phong Niên</t>
  </si>
  <si>
    <t>a)</t>
  </si>
  <si>
    <t>b)</t>
  </si>
  <si>
    <t>c)</t>
  </si>
  <si>
    <t>Đường giao thông nội thị thị trấn Phú Hòa, tuyến đường D3</t>
  </si>
  <si>
    <t>Quốc phòng</t>
  </si>
  <si>
    <t>Đường giao thông Hòa Quang Bắc - Hòa Quang Nam (đoạn Hòa Định Đông - Thị trấn Phú Hòa)</t>
  </si>
  <si>
    <t>Mở rộng trường THCS Hòa Quang</t>
  </si>
  <si>
    <t>Xây dựng trường THCS Hòa Định Đông</t>
  </si>
  <si>
    <t>II.6</t>
  </si>
  <si>
    <t>Nâng cấp hệ thống thoát nước nội thị thị trấn Phú Hòa</t>
  </si>
  <si>
    <t xml:space="preserve"> -</t>
  </si>
  <si>
    <t>Chương trình MTQG xây dựng nông thôn mới</t>
  </si>
  <si>
    <t>D</t>
  </si>
  <si>
    <t>VÀ PHÂN BỔ VỐN ĐẦU TƯ NĂM 2024</t>
  </si>
  <si>
    <t>Vốn cân đối ngân sách huyện</t>
  </si>
  <si>
    <t>Vốn cân đối ngân sách huyện được cấp trên giao</t>
  </si>
  <si>
    <t>Trận địa hỏa lực cối 60, cối 82, ĐKZ82, SMPK 12,7mm huyện</t>
  </si>
  <si>
    <t>Đầu tư phát triển khác</t>
  </si>
  <si>
    <t>Vốn uỷ thác qua Ngân hàng Chính sách xã hội để cho vay đối với người nghèo và các đối tượng chính sách khác</t>
  </si>
  <si>
    <t>Thu tiền sử dụng đất</t>
  </si>
  <si>
    <t>I.1</t>
  </si>
  <si>
    <t>I.2</t>
  </si>
  <si>
    <t>I.3</t>
  </si>
  <si>
    <t>I.4</t>
  </si>
  <si>
    <t>Điều chỉnh Quy hoạch chung tỷ lệ 1/5000 đô thị thị trấn huyện lỵ - huyện Phú Hoà</t>
  </si>
  <si>
    <t>I.5</t>
  </si>
  <si>
    <t>Khép kín khu dân cư  thôn cẩm thạch (cửa hàng HTX đến nhà Ông Gộc)</t>
  </si>
  <si>
    <t>Nâng cấp trường THCS Hòa An</t>
  </si>
  <si>
    <t>Nâng cấp trường THCS Lương Văn Chánh</t>
  </si>
  <si>
    <t>Nâng cấp trường Tiểu học Hòa Trị 2</t>
  </si>
  <si>
    <t>Nông nghiệp</t>
  </si>
  <si>
    <t>Hành chính</t>
  </si>
  <si>
    <t>Trụ sở tiếp công dân và các cơ quan huyện</t>
  </si>
  <si>
    <t>Đồ án Quy hoạch chi tiết xây dựng 1/500 trung tâm các xã</t>
  </si>
  <si>
    <t>Trích hỗ trợ xã từ quỹ đất</t>
  </si>
  <si>
    <t>Vốn ngân sách Trung ương hỗ trợ</t>
  </si>
  <si>
    <t>xã Hòa An</t>
  </si>
  <si>
    <t xml:space="preserve"> xã Hòa Quang Nam</t>
  </si>
  <si>
    <t>Chương trình MTQG phát triển KT-XH vùng đồng bào dân tộc thiểu số và miền núi giai đoạn 2021-2030; giai đoạn 1 từ năm 2021-2025</t>
  </si>
  <si>
    <t>Vốn huy động các nhà tài trợ, ủng hộ (phân bổ cho công trình theo mục đích tài trợ, ủng hộ)</t>
  </si>
  <si>
    <t>BCH Quân sự huyện</t>
  </si>
  <si>
    <t>các xã</t>
  </si>
  <si>
    <t>Đường giao thông nội thị thị trấn Phú Hòa; tuyến đường N4 (đoạn từ đường 21,25m đến giáp đường Đông - Tây)</t>
  </si>
  <si>
    <t>CN Ngân hàng CSXH huyện</t>
  </si>
  <si>
    <t>CÔNG KHAI VỀ SỐ LIỆU QUYẾT TOÁN VỐN ĐẦU TƯ THEO NIÊN ĐỘ NĂM 2023</t>
  </si>
  <si>
    <t>DỰ ÁN HOÀN THÀNH NĂM 2023</t>
  </si>
  <si>
    <t>Đường giao thông nội thị thị trấn phú Hòa Tuyến G38-G37</t>
  </si>
  <si>
    <t>Xây dựng trường bắn, thao trường huấn luyện cho ban chủy huy quân sự huyện Phú Hòa</t>
  </si>
  <si>
    <t>Nâng cấp trường tiểu học Hòa Định Đông</t>
  </si>
  <si>
    <t>Cải tạo điện chiếu sáng đường ĐH30, đoạn từ qua thôn Nhất Sơn, xã Hòa Hội</t>
  </si>
  <si>
    <t>Sửa chữa cầu Ké xã Hòa Định Tây</t>
  </si>
  <si>
    <t>Sửa chữa hệ thống điện chiếu sáng công cộng đường ĐH30 (đoạn còn lại)</t>
  </si>
  <si>
    <t>Khu cải táng xã Hòa Trị thuộc Tiểu dự án bồi thường, hỗ trợ, tái định cư, đoạn thuộc địa phận huyện Phú Hoà thuộc Dự án thành phần đoạn Chí Thạnh - Vân Phong thuộc Dự án xây dựng công trình đường bộ cao tốc Bắc - Nam phía Đông giai đoạn 2021-2025</t>
  </si>
  <si>
    <t>Khép kín khu dân cư thôn Cẩm Thạch (giai đoạn 2)</t>
  </si>
  <si>
    <t>Đường ĐH25 (đoạn từ ĐH27 đến Kè Phong Niên)</t>
  </si>
  <si>
    <t>Nâng cấp, mở rộng thay thế hệ thống điện chiếu sáng trục Đông - Tây nối dài</t>
  </si>
  <si>
    <t>Khu cải táng nghĩa trang huyện Phú Hoà thuộc Tiểu dự án bồi thường, hỗ trợ, tái định cư, đoạn thuộc địa phận huyện Phú Hoà thuộc Dự án thành phần đoạn Chí Thạnh - Vân Phong thuộc Dự án xây dựng công trình đường bộ cao tốc Bắc - Nam phía Đông giai đoạn 2021-2025</t>
  </si>
  <si>
    <t>Sửa chữa cầu ông Nhân xã Hòa An</t>
  </si>
  <si>
    <t>Sửa chữa cầu Vũng Soi đường ĐH22</t>
  </si>
  <si>
    <t>Sửa chữa cống thoát nước khu OME</t>
  </si>
  <si>
    <t>Sửa chữa đường ĐH22, 27</t>
  </si>
  <si>
    <t>Sửa chữa đường ĐH29 (đoạn từ ĐH26 đến nghĩa trang xã Hòa Trị)</t>
  </si>
  <si>
    <t>Khu tái định cư xã Hòa An thuộc Tiểu dự án bồi thường, hỗ trợ, tái định cư, đoạn thuộc địa phận huyện Phú Hòa thuộc Dự án thành phần đoạn Chí Thạnh - Vân Phong thuộc Dự án xây dựng công trình đường bộ cao tốc Bắc - Nam phía Đông giai đoạn 2021-2025</t>
  </si>
  <si>
    <t>Khu tái định cư xã Hòa Trị thuộc Tiểu dự án bồi thường, hỗ trợ, tái định cư, đoạn thuộc địa phận huyện Phú Hòa thuộc Dự án thành phần đoạn Chí Thạnh - Vân Phong thuộc Dự án xây dựng công trình đường bộ cao tốc Bắc - Nam phía Đông giai đoạn 2021-2025</t>
  </si>
  <si>
    <t>Sửa chữa Trụ sở Trung tâm chính trị huyện Phú Hòa</t>
  </si>
  <si>
    <t>Kế hoạch vốn đầu tư năm 2023</t>
  </si>
  <si>
    <t>TỔNG SỐ VỐN</t>
  </si>
  <si>
    <t>Danh mục dự án hoàn thành, đã bàn giao, đi vào sử dụng trước 31/12/2022</t>
  </si>
  <si>
    <t>Đường ĐH25 (đoạn từ ĐH27 đến kè Phong Niên)</t>
  </si>
  <si>
    <t>Danh mục dự án dự kiến hoàn thành năm 2023</t>
  </si>
  <si>
    <t>Đường giao thông nội thị thị trấn Phú Hòa, tuyến đường N4 (đoạn từ đường 21,25m đến giáp đường Đông - Tây)</t>
  </si>
  <si>
    <t>Đường giao thông nội thị thị trấn Phú Hòa, tuyến đường G49-G64</t>
  </si>
  <si>
    <t>Danh mục dự án chuyển tiếp hoàn thành sau năm 2023</t>
  </si>
  <si>
    <t>d)</t>
  </si>
  <si>
    <t>Danh mục các dự án khởi công mới năm 2023</t>
  </si>
  <si>
    <t>Cầu qua kênh chính Bắc và đường dẫn vào trục Đông - Tây thị trấn</t>
  </si>
  <si>
    <t>Đường giao thông nội thị thị trấn Phú Hòa, tuyến từ đường Bắc Nam đến đường R4</t>
  </si>
  <si>
    <t>Xây dựng bãi rác thải rắn</t>
  </si>
  <si>
    <t>4</t>
  </si>
  <si>
    <t>5.1</t>
  </si>
  <si>
    <t>8</t>
  </si>
  <si>
    <t>Khép kín khu dân cư xã thôn Cẩm Thạch (giai đoạn 2)</t>
  </si>
  <si>
    <t>Khép kín khu dân cư phía tây nhà ông Tô Thắng - Phụng Tường 1</t>
  </si>
  <si>
    <t>Hạ tầng kỹ thuật khu dân cư NV1, NV2,NV3,NV4 thị trấn Phú Hòa</t>
  </si>
  <si>
    <t>Khép kín khu dân cư chùa Tuyết Lãnh Sơn</t>
  </si>
  <si>
    <t>Khép kín khu dân cư xã thôn Cẩm Thạch (cửa hàng HTX đến nhà Ông Gộc)</t>
  </si>
  <si>
    <t>5</t>
  </si>
  <si>
    <t>Hạng mục khu tái định cư xã Hòa An phục vụ cho dự án cải tạo nâng cấp các đoạn xung yếu trên QL25 thuộc địa bàn huyện Phú Hòa (giai đoạn 2)</t>
  </si>
  <si>
    <t>Khép kín khu dân cư phía Nam An Thịnh thuộc khu đất O27(đồ án quy hoạch Bắc Sông Ba)</t>
  </si>
  <si>
    <t>7</t>
  </si>
  <si>
    <t>Khép kín khu dân cư phía Nam THACO Trường Hải thuộc khu đất O28( đồ án quy hoạch Bắc Sông Ba)</t>
  </si>
  <si>
    <t xml:space="preserve">Điều chỉnh Quy hoạch chung tỷ lệ 1/5000 đô thị thị trấn huyện lỵ - huyện Phú Hoà </t>
  </si>
  <si>
    <t>Tiền đất dư các năm trước</t>
  </si>
  <si>
    <t>Vốn ngân sách tỉnh hỗ trợ</t>
  </si>
  <si>
    <t>Nguồn cân đối</t>
  </si>
  <si>
    <t>Nguồn bổ sung có mục tiêu</t>
  </si>
  <si>
    <t>Nguồn sử dụng đất</t>
  </si>
  <si>
    <t>Lưới điện chiếu sáng công cộng dọc Quốc lộ 25 và cây xanh dải phân cách Quốc lộ 25 đoạn qua xã Hòa An</t>
  </si>
  <si>
    <t>IV</t>
  </si>
  <si>
    <t>Vốn xổ số kiến thiết</t>
  </si>
  <si>
    <t>Xã Hòa An</t>
  </si>
  <si>
    <t>1.1</t>
  </si>
  <si>
    <t>Xây dựng tiểu công viên thể thao thôn Phú Ân</t>
  </si>
  <si>
    <t>1.2</t>
  </si>
  <si>
    <t>Nâng cấp chợ Phú Ân</t>
  </si>
  <si>
    <t>1.3</t>
  </si>
  <si>
    <t>Nâng cấp hệ thống chiếu sáng đường Gò Quyền (giai đoạn 1)</t>
  </si>
  <si>
    <t>Xã Hòa Trị</t>
  </si>
  <si>
    <t>2.1</t>
  </si>
  <si>
    <t>Tuyến đường nhà ông Bỉnh, thôn Phụng Tường 2</t>
  </si>
  <si>
    <t>2.2</t>
  </si>
  <si>
    <t>Nâng cấp, sửa chữa chợ Qui Hậu</t>
  </si>
  <si>
    <t>2.3</t>
  </si>
  <si>
    <t>Nâng cấp sân vận động xã</t>
  </si>
  <si>
    <t>2.4</t>
  </si>
  <si>
    <t>Cải tạo Nghĩa trang xã Hòa Trị</t>
  </si>
  <si>
    <t>2.5</t>
  </si>
  <si>
    <t>Tuyến điện ĐH 26 đến ngã ba cầu đá</t>
  </si>
  <si>
    <t>Xã Hòa Thắng</t>
  </si>
  <si>
    <t>3.1</t>
  </si>
  <si>
    <t>Nâng cấp điện chiếu sáng tuyến đường từ QL 25 đến cầu Lý Hồng Thạch</t>
  </si>
  <si>
    <t>3.2</t>
  </si>
  <si>
    <t>Sửa chữa tuyến đường từ giáp đường ĐH 25 (tổ 6 thôn Phong Niên) đến chợ Gò Đỗ (xã Hòa Định Đông)</t>
  </si>
  <si>
    <t>Xã Hòa Quang Bắc</t>
  </si>
  <si>
    <t>4.1</t>
  </si>
  <si>
    <t>Xây dựng tường rào, công viên nhà văn hóa thôn Ngọc Sơn</t>
  </si>
  <si>
    <t>4.2</t>
  </si>
  <si>
    <t>Sửa chợ Hạnh Lâm</t>
  </si>
  <si>
    <t>4.3</t>
  </si>
  <si>
    <t>Hệ thống chiếu sáng đường liên thôn từ ĐH22 đến nhà văn hóa thôn Cẩm Sơn</t>
  </si>
  <si>
    <t>4.4</t>
  </si>
  <si>
    <t>Hệ thống chiếu sáng đường vào nghĩa trang thôn Đồng Lãnh xã Hòa Quang Bắc</t>
  </si>
  <si>
    <t>Xã Hòa Quang Nam</t>
  </si>
  <si>
    <t>Đường GTNĐ dây thép</t>
  </si>
  <si>
    <t>5.2</t>
  </si>
  <si>
    <t>Đường GTNĐ Chu Me (giai đoạn 2)</t>
  </si>
  <si>
    <t>5.3</t>
  </si>
  <si>
    <t>Nâng cấp mặt bằng khu thể thao thôn Quang Hưng</t>
  </si>
  <si>
    <t>5.4</t>
  </si>
  <si>
    <t>Sửa chữa nhà liều chính chợ Quang Hưng hạng mục: thay mới mái tôn, xã gồ, sơn tường và phả nền</t>
  </si>
  <si>
    <t>Xã Hòa Định Đông</t>
  </si>
  <si>
    <t>6.1</t>
  </si>
  <si>
    <t>Đường bê tông GTNĐ tuyến từ Cầu bà Bảy- Cầu Vôi</t>
  </si>
  <si>
    <t>6.2</t>
  </si>
  <si>
    <t>Đường bê tông GTNĐ tuyến từ đường bê tông đi nghĩa trang huyện đến nhà ông Nguyễn Xuân Xanh</t>
  </si>
  <si>
    <t>6.3</t>
  </si>
  <si>
    <t>Đường bê tông GT thôn, xóm tuyến từ nhà ông Nguyễn Hữu Thiên đến nhà ông Hồ Quốc Văn</t>
  </si>
  <si>
    <t>6.4</t>
  </si>
  <si>
    <t>Đường bê tông GT thôn, xóm tuyến từ Gò xóm Bún đến nhà ông Trần Hiệt</t>
  </si>
  <si>
    <t>6.5</t>
  </si>
  <si>
    <t>Đường bê tông GTNĐ  tuyến từ ngã ba trên Gò Miếu đến nhà ông Trần Văn Chánh</t>
  </si>
  <si>
    <t>6.6</t>
  </si>
  <si>
    <t>Đường bê tông GTNĐ  tuyến từ Lò gạch bảy An (cũ) đến đường BTGT nội đồng đi kênh N3</t>
  </si>
  <si>
    <t>6.7</t>
  </si>
  <si>
    <t xml:space="preserve">Bê tông lề đường đoạn từ trường Tiểu học Hòa Định Đông đến Trụ sở công an xã </t>
  </si>
  <si>
    <t>Xã Hòa Định Tây</t>
  </si>
  <si>
    <t>7.1</t>
  </si>
  <si>
    <t>Xây dựng lưới điện chiếu sáng công cộng tuyến đường bờ vùng suối Bờ lượng</t>
  </si>
  <si>
    <t>7.2</t>
  </si>
  <si>
    <t>Sửa chữa tường rào sân vận động xã</t>
  </si>
  <si>
    <t>7.3</t>
  </si>
  <si>
    <t>Bê tông GTNT tuyến đường từ nhà ông Dổng đến nhà ông Dương Công Toàn</t>
  </si>
  <si>
    <t>7.4</t>
  </si>
  <si>
    <t xml:space="preserve">Bê tông GTNT tuyến đường từ Lù Hóc Trâm đến nhà ông Nguyên Kim </t>
  </si>
  <si>
    <t>7.5</t>
  </si>
  <si>
    <t>Bê tông GTNT tuyến đường từ nhà ông Ngô Tấn Đạt đến nhà ông Phạm Chẻo</t>
  </si>
  <si>
    <t>Xã Hòa Hội</t>
  </si>
  <si>
    <t>8.1</t>
  </si>
  <si>
    <t>Đầu tư trang thiết bị cho nhà văn hóa xã Hòa Hội</t>
  </si>
  <si>
    <t>8.2</t>
  </si>
  <si>
    <t>Bê tông hóa đường GTNĐ tuyến từ cầu Suối ông chu đến Ngã Tư Đá Trắng</t>
  </si>
  <si>
    <t>8.3</t>
  </si>
  <si>
    <t>Xây dựng nhà vệ sinh, nhà bảo vệ, sân bê tông, cải tạo cổng và nhà lồng của chợ Đồng Cam, xã Hòa Hội</t>
  </si>
  <si>
    <t>8.4</t>
  </si>
  <si>
    <t>Tư sửa nhà văn hóa thôn Phong Hậu, Nhất Sơn xã Hòa Hội, hạng mục: nhà xe nhà văn hóa thôn Phong Hậu, Nhất Sơn</t>
  </si>
  <si>
    <t>8.5</t>
  </si>
  <si>
    <t>Đầu tư, trang thiết bị cho nhà văn hóa thôn Phong hậu, Nhất Sơn</t>
  </si>
  <si>
    <t>V</t>
  </si>
  <si>
    <t>Nguồn tiết kiệm chi NS Tỉnh</t>
  </si>
  <si>
    <t>Nâng cấp, sửa chữa nhà văn hoá thôn Đông Bình</t>
  </si>
  <si>
    <t>Nâng cấp, sửa chữa và lắp đặt thiết bị camera an ninh quan sát trên địa bàn xã Hoà An</t>
  </si>
  <si>
    <t>Nâng cấp, mở rộng nhà văn hoá thôn Phú Ân</t>
  </si>
  <si>
    <t>1.4</t>
  </si>
  <si>
    <t>Nâng cấp, mở rộng nhà văn hoá thôn Ân Niên</t>
  </si>
  <si>
    <t>1.5</t>
  </si>
  <si>
    <t>Nâng cấp hệ thống điện chiếu sáng Xóm Đồng</t>
  </si>
  <si>
    <t>1.6</t>
  </si>
  <si>
    <t>Sửa chữa đường giao thông xóm đồng (tuyến Cầu số 4 - Sân kho đội 1)</t>
  </si>
  <si>
    <t>Nâng cấp đường GTNT; tuyến từ ĐH22 đoạn phía Tây HTX1 đến ngõ nhà Võ Thái</t>
  </si>
  <si>
    <t>Nâng cấp đường GTNT; tuyến từ ĐH đến ngã ba Gò Lồ</t>
  </si>
  <si>
    <t>Nâng cấp đường GTNT; tuyến từ ĐH22 đến nhà văn hoá thôn Long Phụng</t>
  </si>
  <si>
    <t>Xây dựng mới Cầu Đồng Đó</t>
  </si>
  <si>
    <t>Tuyến đường từ ngã ba Gò Lồ đến ngã ba Gò cây bún</t>
  </si>
  <si>
    <t>Nâng cấp, sửa chữa nhà văn hoá xã Hoà Thắng</t>
  </si>
  <si>
    <t>Nâng cấp, sửa chữa các tuyến đường bê tông thôn Phú Lộc</t>
  </si>
  <si>
    <t>3.3</t>
  </si>
  <si>
    <t>Sửa chữa đường bê tông liên thôn, tuyến ĐH25 - Nhà mẫu giáo đội 1, Mỹ Hoà</t>
  </si>
  <si>
    <t>Nâng cấp mặt bằng, xây dựng công viên, khu vui chơi, tường rào nhà văn hoá thôn Cẩm sơn</t>
  </si>
  <si>
    <t>Nâng cấp, sửa chữa nhà văn hoá thôn Thạnh Lâm</t>
  </si>
  <si>
    <t>Hệ thống chiếu sáng công viên Núi Miếu</t>
  </si>
  <si>
    <t>Nâng cấp, sửa chữa đường từ ĐH 25 đến cầu suối Bến Rái</t>
  </si>
  <si>
    <t>4.5</t>
  </si>
  <si>
    <t>Nâng cấp, sửa chữa đường nghĩa trang Đồng Mỹ</t>
  </si>
  <si>
    <t>Đường giao thông nội đồng tuyến từ Núi đất đến nhà ông Hân, thôn Mậu Lâm Nam</t>
  </si>
  <si>
    <t>Đường giao thông nội đồng tuyến từ Xóm 2 nhỏ đến cầu Sắt, thôn Phú Thạnh</t>
  </si>
  <si>
    <t>Đường giao thông nội đồng đồng làng, thôn Đại Phú</t>
  </si>
  <si>
    <t>Sửa chữa, nâng cấp cầu suối Lụa</t>
  </si>
  <si>
    <t>Mở rộng nhà văn hoá xã Hoà Định Đông</t>
  </si>
  <si>
    <t>Xây dựng bê tông giao thông nội đồng; tuyến từ cầu vôi đến cầu Xa làng (L=290,45m)</t>
  </si>
  <si>
    <t>Sữa chữa, nâng cấp kênh mương, khắc phục hậu quả lũ lụt (Kênh Cây Da đoạn 2)</t>
  </si>
  <si>
    <t>Sửa chữa, nâng cấp đường bê tông (tuyến từ nhà ông Lê Văn Làm - Mương cây da)</t>
  </si>
  <si>
    <t>Mua sắm trang thiết bị Nhà văn hoá xã Hoà Định Tây</t>
  </si>
  <si>
    <t xml:space="preserve"> Bê tông GTNT Tuyến đường từ nhà ông Trần Văn Nhựt đến nhà Ông Nguyễn Kim Cang đội 1 thôn Phú Sen Đông</t>
  </si>
  <si>
    <t>Bê Tông GTNT Tuyến từ Cầu Suối Bà Lượng đến nhà Ông Trần Tiến đội 3 B thôn Phú Sen Đông</t>
  </si>
  <si>
    <t>Bê Tông GTNT Tuyến từ nhà bà Ngô Thị Kim Trang đội 03 A, thôn Phú Sen Đông</t>
  </si>
  <si>
    <t xml:space="preserve"> Bê tông GTNT Tuyến đường từ cầu 7 Ngờ vào xóm Bầu đội 4 thôn Phú Sen Tây</t>
  </si>
  <si>
    <t>7.6</t>
  </si>
  <si>
    <t xml:space="preserve"> Bê tông GTNT Tuyến đường từ Nhà Ông Nguyễn An đến giáp kênh N2 đội 4, thôn Cẩm Thạch</t>
  </si>
  <si>
    <t>7.7</t>
  </si>
  <si>
    <t>Bê tông GTNT Tuyến đường từ cầu 2 Thạo đến nhà Ông Nguyễn Xuân Dương đội 3, thôn Cẩm Thạch</t>
  </si>
  <si>
    <t>7.8</t>
  </si>
  <si>
    <t>Sửa chữa đường bê tông (từ UBND xã đến đường Liên thôn Phú Sen- Cẩm Thạch)</t>
  </si>
  <si>
    <t>7.9</t>
  </si>
  <si>
    <t>Sửa chữa, nâng cấp đường giao thông nội bộ (tuyến từ UBND xã - Cống tràn)</t>
  </si>
  <si>
    <t>7.10</t>
  </si>
  <si>
    <t>Bê tông GTNT tuyến từ nhà Ông Phạm Văn Nhiệm đến đường liên thôn Cẩm Thạch - Phú Sen</t>
  </si>
  <si>
    <t>7.11</t>
  </si>
  <si>
    <t>Bê tông GTNT tuyến đường từ nhà Ông Huỳnh Văn Hòa đến nhà Ông Trần Văn Nam đội 1 Thôn Cẩm Thạch</t>
  </si>
  <si>
    <t>Nâng cấp, sửa chữa nhà văn hoá xã Hoà Hội</t>
  </si>
  <si>
    <t>Xây dựng cổng, tường rào, sân bê tông, nhà vệ sinh nhà văn hoá thôn Nhất Sơn</t>
  </si>
  <si>
    <t>Xây dựng hỗ trợ nhà ở cho người đồng bào DTTS thuộc Buôn Hố Hầm, xã Hòa Hội</t>
  </si>
  <si>
    <t>Nâng cấp, sửa chữa tường rào nhà Rông Buôn Hố Hầm; hạng mục: Sơn, sửa tường rào mặt tiền và nâng cấp 1 phần tường rào phía Đông nhà Rông Buôn Hố Hầm</t>
  </si>
  <si>
    <t>Sửa chữa, nâng cấp đường giao thông (tuyến từ cống tràn đồng làng - ngả tư đá trắng )</t>
  </si>
  <si>
    <t>9</t>
  </si>
  <si>
    <t>Thị trấn Phú Hòa</t>
  </si>
  <si>
    <t>9.1</t>
  </si>
  <si>
    <t>Sửa chữa, nâng cấp đường giao thông nội bộ (Đoạn từ xứ đồng nước nhỉ - Núi bà Đạo)</t>
  </si>
  <si>
    <t>Tổng mức vốn ĐT được duyệt</t>
  </si>
  <si>
    <t>Nâng cấp trường THCS Trần Hào</t>
  </si>
  <si>
    <t>Vốn đầu tư công</t>
  </si>
  <si>
    <t>Vốn sự nghiệp</t>
  </si>
  <si>
    <t>Vốn Trung ương</t>
  </si>
  <si>
    <t>Bao gồm nguồn CĐNS: 3.015,226 triệu đồng</t>
  </si>
  <si>
    <t>Kể cả KHV 2022 chuyển sang: 1.238,5236 triệu đồng</t>
  </si>
  <si>
    <t>Bao gồm nguồn CĐNS: 60 triệu đồng</t>
  </si>
  <si>
    <t>Bao gồm nguồn CĐNS: 23,247 triệu đồng</t>
  </si>
  <si>
    <t>Bao gồm nguồn CĐNS: 118,109 triệu đồng</t>
  </si>
  <si>
    <t>Bao gồm nguồn CĐNS: 32,331 triệu đồng</t>
  </si>
  <si>
    <t>Bao gồm nguồn CĐNS: 35,986 triệu đồng</t>
  </si>
  <si>
    <t>Biểu mẫu : 02/CKTC-ĐTXD</t>
  </si>
  <si>
    <t>CÔNG KHAI VỀ KẾT QUẢ LỰA CHỌN NHÀ THẦU NĂM 2023</t>
  </si>
  <si>
    <t>STT</t>
  </si>
  <si>
    <t>Tên gói thầu/gói thầu</t>
  </si>
  <si>
    <t>Giá gói thầu được duyệt</t>
  </si>
  <si>
    <t>Giá dự thầu</t>
  </si>
  <si>
    <t xml:space="preserve">Giá trúng thầu </t>
  </si>
  <si>
    <t>Giá ký hợp đồng</t>
  </si>
  <si>
    <t>Lưới điện chiếu sáng công cộng dọc QL25 và cây xanh dải phân cách QL25 đoạn qua Hòa An (bổ sung)</t>
  </si>
  <si>
    <t>Giai đoạn 1</t>
  </si>
  <si>
    <t xml:space="preserve"> + Gói thầu số 02TV:Tư vấn giám sát</t>
  </si>
  <si>
    <t xml:space="preserve"> + Gói thầu số 03XL: Xây lắp </t>
  </si>
  <si>
    <t xml:space="preserve"> + Gói thầu số 04BH: Bảo hiểm </t>
  </si>
  <si>
    <t>Giai đoạn 2</t>
  </si>
  <si>
    <t xml:space="preserve"> + Gói thầu Tư vấn lập Báo cáo kinh tế - Kỹ thuật</t>
  </si>
  <si>
    <t xml:space="preserve"> + Gói thầu tư vấn thẩm tra bản vẽ và dự toán</t>
  </si>
  <si>
    <t xml:space="preserve"> + Gói thầu số 01TV: Tư vấn lập hồ sơ yêu cầu và đánh giá hồ sơ đề xuất</t>
  </si>
  <si>
    <t xml:space="preserve"> + Gói thầu số 01TV: Tư vấn giám sát thi công xây dựng</t>
  </si>
  <si>
    <t xml:space="preserve"> + Gói thầu số 02XL: Xây lắp </t>
  </si>
  <si>
    <t xml:space="preserve"> + Gói thầu số 03TV:Tư vấn giám sát</t>
  </si>
  <si>
    <t xml:space="preserve">  + Gói thầu số 04TV: Tư vấn giám sát xây dựng công trình</t>
  </si>
  <si>
    <t xml:space="preserve">  + Gói thầu số 05BH: Bảo hiểm</t>
  </si>
  <si>
    <t xml:space="preserve">  + Gói thầu số 06XL: Xây lắp toàn bộ công trình</t>
  </si>
  <si>
    <t>+ Gói thầu số 07TV: Rà phá bom mìn</t>
  </si>
  <si>
    <t>+ Gói thầu số 08TV: Tư vấn giám sát rà phá bom mìn</t>
  </si>
  <si>
    <t>Hạ tầng kỹ thuật khu dân cư NLK4 (GĐ2)</t>
  </si>
  <si>
    <t xml:space="preserve"> + Gói thầu trích đo bản đồ địa chính </t>
  </si>
  <si>
    <t xml:space="preserve"> + Gói thầu Tư vấn lập hồ sơ đánh giá TĐMT</t>
  </si>
  <si>
    <t xml:space="preserve"> + Gói thầu số 05BH: Bảo hiểm xây dựng (giai đoạn 2)</t>
  </si>
  <si>
    <t xml:space="preserve"> + Gói thầu số 06XL: Xây lắp (giai đoạn 2)</t>
  </si>
  <si>
    <t>Khép kín KDC chùa Tuyết Lãnh Sơn</t>
  </si>
  <si>
    <t xml:space="preserve">  + Gói thầu số 02BH: Bảo hiểm công trình</t>
  </si>
  <si>
    <t xml:space="preserve"> + Gói thầu số 04CM: Cắm mốc phân lô</t>
  </si>
  <si>
    <t>Khép kín KDC thôn Cẩm Thạch (cửa hàng HTX đến nhà ông Gộc)</t>
  </si>
  <si>
    <t xml:space="preserve"> + Gói thầu số 02 TV :  Tư vấn thẩm tra hồ sơ thiết kế BVTC-DT</t>
  </si>
  <si>
    <t xml:space="preserve">  + Gói thầu số 05 TV: Tư vấn giám sát</t>
  </si>
  <si>
    <t xml:space="preserve">  + Gói thầu số 06BH: Bảo hiểm xây dựng</t>
  </si>
  <si>
    <t xml:space="preserve"> + Gói thầu số 07 XL: Xây lắp toàn bộ công trình</t>
  </si>
  <si>
    <t xml:space="preserve"> + Gói thầu số 03TV: Tư vấn lập HSMT và đánh giá HSDT</t>
  </si>
  <si>
    <t xml:space="preserve"> + Gói thầu số 03TV: Tư vấn lậpHSMT và đánh giá HSDT thi công xây dựng</t>
  </si>
  <si>
    <t xml:space="preserve"> + Gói thầu số 04TV: Tư vấn lậpHSMT và đánh giá HSDT giám sát thi công </t>
  </si>
  <si>
    <t>(Kèm theo Quyết định số 957/QĐ-UBND ngày  07 /3/2024 của UBND huyện Phú Hòa)</t>
  </si>
  <si>
    <t>(Kèm theo Quyết định số 957/QĐ-UBND ngày 07/3/2024 của UBND huyện Phú Hòa)</t>
  </si>
  <si>
    <t>Mở rộng khép kín khu dân cư phía tây chợ Phong Niên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</si>
</sst>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00"/>
    <numFmt numFmtId="165" formatCode="_(* #,##0.000_);_(* \(#,##0.000\);_(* &quot;-&quot;??_);_(@_)"/>
    <numFmt numFmtId="166" formatCode="_(* #,##0_);_(* \(#,##0\);_(* &quot;-&quot;??_);_(@_)"/>
    <numFmt numFmtId="167" formatCode="_(* #,##0.0_);_(* \(#,##0.0\);_(* &quot;-&quot;??_);_(@_)"/>
    <numFmt numFmtId="168" formatCode="_-* #,##0.00\ _$_-;\-* #,##0.00\ _$_-;_-* &quot;-&quot;??\ _$_-;_-@_-"/>
    <numFmt numFmtId="169" formatCode="_-* #,##0\ _$_-;\-* #,##0\ _$_-;_-* &quot;-&quot;??\ _$_-;_-@_-"/>
    <numFmt numFmtId="170" formatCode="_-* #,##0.000\ _$_-;\-* #,##0.000\ _$_-;_-* &quot;-&quot;??\ _$_-;_-@_-"/>
    <numFmt numFmtId="171" formatCode="_(* #,##0.000_);_(* \(#,##0.000\);_(* &quot;-&quot;???_);_(@_)"/>
    <numFmt numFmtId="172" formatCode="#,##0.000;[Red]#,##0.000"/>
  </numFmts>
  <fonts count="49" x14ac:knownFonts="1">
    <font>
      <sz val="11"/>
      <color theme="1"/>
      <name val="Calibri"/>
      <family val="2"/>
      <scheme val="minor"/>
    </font>
    <font>
      <sz val="11"/>
      <color theme="1"/>
      <name val="Calibri"/>
      <family val="2"/>
      <scheme val="minor"/>
    </font>
    <font>
      <b/>
      <sz val="10"/>
      <color rgb="FF000000"/>
      <name val="Times New Roman"/>
      <family val="1"/>
    </font>
    <font>
      <sz val="10"/>
      <color rgb="FF000000"/>
      <name val="Times New Roman"/>
      <family val="1"/>
    </font>
    <font>
      <sz val="11"/>
      <color theme="1"/>
      <name val="Times New Roman"/>
      <family val="1"/>
    </font>
    <font>
      <b/>
      <sz val="10.5"/>
      <color rgb="FF000000"/>
      <name val="Times New Roman"/>
      <family val="1"/>
    </font>
    <font>
      <b/>
      <sz val="11"/>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2"/>
      <name val="Times New Roman"/>
      <family val="1"/>
    </font>
    <font>
      <i/>
      <sz val="12"/>
      <color rgb="FFFF0000"/>
      <name val="Times New Roman"/>
      <family val="1"/>
    </font>
    <font>
      <b/>
      <sz val="14"/>
      <color rgb="FF000000"/>
      <name val="Times New Roman"/>
      <family val="1"/>
    </font>
    <font>
      <i/>
      <sz val="10"/>
      <color rgb="FFFF0000"/>
      <name val="Times New Roman"/>
      <family val="1"/>
    </font>
    <font>
      <sz val="11"/>
      <color rgb="FFFF0000"/>
      <name val="Times New Roman"/>
      <family val="1"/>
    </font>
    <font>
      <b/>
      <sz val="12"/>
      <color indexed="8"/>
      <name val="Times New Roman"/>
      <family val="1"/>
    </font>
    <font>
      <sz val="12"/>
      <color indexed="8"/>
      <name val="Times New Roman"/>
      <family val="1"/>
    </font>
    <font>
      <b/>
      <sz val="14"/>
      <name val="Times New Roman"/>
      <family val="1"/>
    </font>
    <font>
      <sz val="14"/>
      <name val="Times New Roman"/>
      <family val="1"/>
    </font>
    <font>
      <sz val="11"/>
      <color theme="1"/>
      <name val="Calibri"/>
      <family val="2"/>
      <charset val="163"/>
      <scheme val="minor"/>
    </font>
    <font>
      <sz val="10"/>
      <name val="Arial"/>
      <family val="2"/>
    </font>
    <font>
      <i/>
      <sz val="12"/>
      <color rgb="FF000000"/>
      <name val="Times New Roman"/>
      <family val="1"/>
    </font>
    <font>
      <sz val="12"/>
      <color theme="1"/>
      <name val="Times New Roman"/>
      <family val="1"/>
    </font>
    <font>
      <b/>
      <i/>
      <sz val="12"/>
      <name val="Times New Roman"/>
      <family val="1"/>
    </font>
    <font>
      <b/>
      <i/>
      <sz val="12"/>
      <color indexed="8"/>
      <name val="Times New Roman"/>
      <family val="1"/>
    </font>
    <font>
      <sz val="14"/>
      <color theme="1"/>
      <name val="Times New Roman"/>
      <family val="1"/>
    </font>
    <font>
      <i/>
      <sz val="14"/>
      <name val="Times New Roman"/>
      <family val="1"/>
    </font>
    <font>
      <b/>
      <sz val="13"/>
      <color theme="1"/>
      <name val="Times New Roman"/>
      <family val="1"/>
    </font>
    <font>
      <sz val="13"/>
      <color theme="1"/>
      <name val="Times New Roman"/>
      <family val="1"/>
    </font>
    <font>
      <sz val="11"/>
      <color indexed="8"/>
      <name val="Calibri"/>
      <family val="2"/>
    </font>
    <font>
      <b/>
      <sz val="12"/>
      <color rgb="FFFF0000"/>
      <name val="Times New Roman"/>
      <family val="1"/>
    </font>
    <font>
      <i/>
      <sz val="12"/>
      <name val="Times New Roman"/>
      <family val="1"/>
    </font>
    <font>
      <i/>
      <sz val="12"/>
      <color theme="1"/>
      <name val="Times New Roman"/>
      <family val="1"/>
    </font>
    <font>
      <b/>
      <i/>
      <sz val="12"/>
      <color theme="1"/>
      <name val="Times New Roman"/>
      <family val="1"/>
    </font>
    <font>
      <sz val="12"/>
      <color rgb="FFFF0000"/>
      <name val="Times New Roman"/>
      <family val="1"/>
    </font>
    <font>
      <sz val="8"/>
      <name val="Times New Roman"/>
      <family val="1"/>
    </font>
    <font>
      <sz val="8"/>
      <color indexed="8"/>
      <name val="Times New Roman"/>
      <family val="1"/>
    </font>
    <font>
      <sz val="10"/>
      <color indexed="8"/>
      <name val="Arial"/>
      <family val="2"/>
    </font>
    <font>
      <b/>
      <sz val="10"/>
      <color indexed="8"/>
      <name val="Arial"/>
      <family val="2"/>
    </font>
    <font>
      <b/>
      <sz val="10"/>
      <name val="Times New Roman"/>
      <family val="1"/>
    </font>
    <font>
      <sz val="10"/>
      <name val="Times New Roman"/>
      <family val="1"/>
    </font>
    <font>
      <b/>
      <i/>
      <sz val="10"/>
      <name val="Times New Roman"/>
      <family val="1"/>
    </font>
    <font>
      <sz val="12"/>
      <color rgb="FF000099"/>
      <name val="Times New Roman"/>
      <family val="1"/>
    </font>
    <font>
      <sz val="12"/>
      <color rgb="FF00B050"/>
      <name val="Times New Roman"/>
      <family val="1"/>
    </font>
    <font>
      <b/>
      <sz val="12"/>
      <color rgb="FF000099"/>
      <name val="Times New Roman"/>
      <family val="1"/>
    </font>
    <font>
      <b/>
      <sz val="12"/>
      <color rgb="FFC00000"/>
      <name val="Times New Roman"/>
      <family val="1"/>
    </font>
    <font>
      <sz val="12"/>
      <color rgb="FFC00000"/>
      <name val="Times New Roman"/>
      <family val="1"/>
    </font>
    <font>
      <b/>
      <sz val="12"/>
      <color rgb="FF00B050"/>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43" fontId="1" fillId="0" borderId="0" applyFont="0" applyFill="0" applyBorder="0" applyAlignment="0" applyProtection="0"/>
    <xf numFmtId="0" fontId="20"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168" fontId="30" fillId="0" borderId="0" applyFont="0" applyFill="0" applyBorder="0" applyAlignment="0" applyProtection="0"/>
    <xf numFmtId="43" fontId="11" fillId="0" borderId="0" applyFont="0" applyFill="0" applyBorder="0" applyAlignment="0" applyProtection="0"/>
  </cellStyleXfs>
  <cellXfs count="215">
    <xf numFmtId="0" fontId="0" fillId="0" borderId="0" xfId="0"/>
    <xf numFmtId="0" fontId="2" fillId="0" borderId="0" xfId="0" applyFont="1" applyAlignment="1">
      <alignment vertical="center"/>
    </xf>
    <xf numFmtId="0" fontId="4" fillId="0" borderId="0" xfId="0" applyFont="1"/>
    <xf numFmtId="0" fontId="6" fillId="0" borderId="0" xfId="0" applyFont="1"/>
    <xf numFmtId="0" fontId="7" fillId="0" borderId="0" xfId="0" applyFont="1"/>
    <xf numFmtId="0" fontId="3"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5" fillId="0" borderId="0" xfId="0" applyFont="1" applyAlignment="1">
      <alignment vertical="center"/>
    </xf>
    <xf numFmtId="0" fontId="14" fillId="2" borderId="1" xfId="0" applyFont="1" applyFill="1" applyBorder="1" applyAlignment="1">
      <alignment horizontal="center" vertical="center" wrapText="1"/>
    </xf>
    <xf numFmtId="0" fontId="4" fillId="0" borderId="1" xfId="0" applyFont="1" applyBorder="1"/>
    <xf numFmtId="0" fontId="15" fillId="0" borderId="0" xfId="0" applyFont="1"/>
    <xf numFmtId="0" fontId="4" fillId="0" borderId="0" xfId="0" applyFont="1" applyFill="1"/>
    <xf numFmtId="0" fontId="11" fillId="0" borderId="1" xfId="0" applyFont="1" applyFill="1" applyBorder="1" applyAlignment="1">
      <alignment vertical="center" wrapText="1"/>
    </xf>
    <xf numFmtId="0" fontId="11" fillId="0" borderId="1" xfId="0" applyFont="1" applyBorder="1" applyAlignment="1">
      <alignment vertical="center" wrapText="1"/>
    </xf>
    <xf numFmtId="0" fontId="19" fillId="0" borderId="0" xfId="0" applyFont="1"/>
    <xf numFmtId="3" fontId="19" fillId="0" borderId="0" xfId="0" applyNumberFormat="1" applyFont="1"/>
    <xf numFmtId="166" fontId="19" fillId="0" borderId="0" xfId="0" applyNumberFormat="1" applyFont="1"/>
    <xf numFmtId="0" fontId="19" fillId="0" borderId="0" xfId="0" applyFont="1" applyAlignment="1">
      <alignment horizontal="justify"/>
    </xf>
    <xf numFmtId="0" fontId="8" fillId="2" borderId="1" xfId="0" applyFont="1" applyFill="1" applyBorder="1" applyAlignment="1">
      <alignment horizontal="center" vertical="center" wrapText="1"/>
    </xf>
    <xf numFmtId="0" fontId="23" fillId="0" borderId="0" xfId="0" applyFont="1"/>
    <xf numFmtId="4" fontId="10" fillId="0" borderId="1" xfId="1" applyNumberFormat="1" applyFont="1" applyFill="1" applyBorder="1" applyAlignment="1">
      <alignment vertical="center" wrapText="1"/>
    </xf>
    <xf numFmtId="4" fontId="24" fillId="0" borderId="1" xfId="1" applyNumberFormat="1" applyFont="1" applyFill="1" applyBorder="1" applyAlignment="1">
      <alignment vertical="center" wrapText="1"/>
    </xf>
    <xf numFmtId="0" fontId="8" fillId="2" borderId="1" xfId="0" applyFont="1" applyFill="1" applyBorder="1" applyAlignment="1">
      <alignment vertical="center" wrapText="1"/>
    </xf>
    <xf numFmtId="0" fontId="2" fillId="2" borderId="1" xfId="0" applyFont="1" applyFill="1" applyBorder="1" applyAlignment="1">
      <alignment horizontal="center" vertical="center" wrapText="1"/>
    </xf>
    <xf numFmtId="4" fontId="23" fillId="0" borderId="1" xfId="0" applyNumberFormat="1" applyFont="1" applyFill="1" applyBorder="1" applyAlignment="1">
      <alignment vertical="center"/>
    </xf>
    <xf numFmtId="4" fontId="23" fillId="3" borderId="1" xfId="0" applyNumberFormat="1" applyFont="1" applyFill="1" applyBorder="1" applyAlignment="1">
      <alignment vertical="center"/>
    </xf>
    <xf numFmtId="4" fontId="23" fillId="3" borderId="1" xfId="1" applyNumberFormat="1" applyFont="1" applyFill="1" applyBorder="1" applyAlignment="1">
      <alignment horizontal="right" vertical="center" wrapText="1"/>
    </xf>
    <xf numFmtId="0" fontId="26" fillId="0" borderId="0" xfId="0" applyFont="1"/>
    <xf numFmtId="0" fontId="26" fillId="0" borderId="0" xfId="0" applyFont="1" applyAlignment="1">
      <alignment horizontal="center"/>
    </xf>
    <xf numFmtId="0" fontId="19" fillId="0" borderId="0" xfId="0" applyFont="1" applyAlignment="1">
      <alignment horizontal="center"/>
    </xf>
    <xf numFmtId="0" fontId="8" fillId="2" borderId="1" xfId="0" applyFont="1" applyFill="1" applyBorder="1" applyAlignment="1">
      <alignment horizontal="center" vertical="center" wrapText="1"/>
    </xf>
    <xf numFmtId="165" fontId="11" fillId="0" borderId="1" xfId="1" applyNumberFormat="1" applyFont="1" applyBorder="1" applyAlignment="1">
      <alignment horizontal="right" vertical="center"/>
    </xf>
    <xf numFmtId="164" fontId="29" fillId="3" borderId="1" xfId="0" applyNumberFormat="1" applyFont="1" applyFill="1" applyBorder="1" applyAlignment="1">
      <alignment horizontal="right" vertical="center" wrapText="1"/>
    </xf>
    <xf numFmtId="170" fontId="28" fillId="3" borderId="1" xfId="6" applyNumberFormat="1" applyFont="1" applyFill="1" applyBorder="1" applyAlignment="1">
      <alignment horizontal="right" vertical="center" wrapText="1"/>
    </xf>
    <xf numFmtId="0" fontId="8" fillId="2" borderId="1" xfId="0" applyFont="1" applyFill="1" applyBorder="1" applyAlignment="1">
      <alignment horizontal="left" vertical="center" wrapText="1"/>
    </xf>
    <xf numFmtId="0" fontId="10" fillId="0" borderId="1" xfId="0" applyFont="1" applyBorder="1" applyAlignment="1">
      <alignment vertical="center" wrapText="1"/>
    </xf>
    <xf numFmtId="165" fontId="10" fillId="0" borderId="1" xfId="1" applyNumberFormat="1" applyFont="1" applyBorder="1" applyAlignment="1">
      <alignment horizontal="right" vertical="center"/>
    </xf>
    <xf numFmtId="0" fontId="6" fillId="0" borderId="1" xfId="0" applyFont="1" applyBorder="1"/>
    <xf numFmtId="2" fontId="10" fillId="0" borderId="1" xfId="0" applyNumberFormat="1" applyFont="1" applyBorder="1" applyAlignment="1">
      <alignment horizontal="center" vertical="center"/>
    </xf>
    <xf numFmtId="2" fontId="10"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2" fontId="31" fillId="3" borderId="1" xfId="0" applyNumberFormat="1" applyFont="1" applyFill="1" applyBorder="1" applyAlignment="1">
      <alignment horizontal="center" vertical="center" wrapText="1"/>
    </xf>
    <xf numFmtId="167" fontId="16" fillId="0" borderId="1" xfId="1" applyNumberFormat="1" applyFont="1" applyFill="1" applyBorder="1" applyAlignment="1">
      <alignment horizontal="right" vertical="center" wrapText="1"/>
    </xf>
    <xf numFmtId="166" fontId="31" fillId="0" borderId="1" xfId="1" applyNumberFormat="1" applyFont="1" applyFill="1" applyBorder="1" applyAlignment="1">
      <alignment horizontal="center" vertical="center" wrapText="1"/>
    </xf>
    <xf numFmtId="0" fontId="11" fillId="0" borderId="1" xfId="0" applyFont="1" applyBorder="1" applyAlignment="1"/>
    <xf numFmtId="2" fontId="16" fillId="3" borderId="1" xfId="0" applyNumberFormat="1" applyFont="1" applyFill="1" applyBorder="1" applyAlignment="1">
      <alignment horizontal="center" vertical="center" wrapText="1"/>
    </xf>
    <xf numFmtId="2" fontId="16" fillId="3" borderId="1" xfId="0" applyNumberFormat="1" applyFont="1" applyFill="1" applyBorder="1" applyAlignment="1">
      <alignment horizontal="left" vertical="center" wrapText="1"/>
    </xf>
    <xf numFmtId="166" fontId="16" fillId="0" borderId="1" xfId="1" applyNumberFormat="1" applyFont="1" applyFill="1" applyBorder="1" applyAlignment="1">
      <alignment horizontal="right" vertical="center" wrapText="1"/>
    </xf>
    <xf numFmtId="166" fontId="16" fillId="0" borderId="1" xfId="1" applyNumberFormat="1" applyFont="1" applyFill="1" applyBorder="1" applyAlignment="1">
      <alignment horizontal="center" vertical="center" wrapText="1"/>
    </xf>
    <xf numFmtId="0" fontId="11" fillId="0" borderId="1" xfId="0" applyFont="1" applyBorder="1"/>
    <xf numFmtId="2" fontId="10" fillId="3" borderId="1" xfId="4" applyNumberFormat="1" applyFont="1" applyFill="1" applyBorder="1" applyAlignment="1">
      <alignment horizontal="center" vertical="center"/>
    </xf>
    <xf numFmtId="2" fontId="10" fillId="3" borderId="1" xfId="4" applyNumberFormat="1" applyFont="1" applyFill="1" applyBorder="1" applyAlignment="1">
      <alignment horizontal="left" vertical="center" wrapText="1"/>
    </xf>
    <xf numFmtId="3" fontId="11" fillId="0" borderId="1" xfId="0" applyNumberFormat="1" applyFont="1" applyBorder="1" applyAlignment="1">
      <alignment horizontal="center" vertical="center" wrapText="1"/>
    </xf>
    <xf numFmtId="1" fontId="11" fillId="3" borderId="1" xfId="4" applyNumberFormat="1" applyFont="1" applyFill="1" applyBorder="1" applyAlignment="1">
      <alignment horizontal="center" vertical="center"/>
    </xf>
    <xf numFmtId="2" fontId="11" fillId="3" borderId="1" xfId="4" applyNumberFormat="1" applyFont="1" applyFill="1" applyBorder="1" applyAlignment="1">
      <alignment vertical="center" wrapText="1"/>
    </xf>
    <xf numFmtId="166" fontId="17" fillId="0" borderId="1" xfId="1" applyNumberFormat="1" applyFont="1" applyFill="1" applyBorder="1" applyAlignment="1">
      <alignment horizontal="right" vertical="center" wrapText="1"/>
    </xf>
    <xf numFmtId="166" fontId="17" fillId="0" borderId="1" xfId="1" applyNumberFormat="1" applyFont="1" applyFill="1" applyBorder="1" applyAlignment="1">
      <alignment horizontal="center" vertical="center" wrapText="1"/>
    </xf>
    <xf numFmtId="2" fontId="23" fillId="3" borderId="1" xfId="4" applyNumberFormat="1" applyFont="1" applyFill="1" applyBorder="1" applyAlignment="1">
      <alignment vertical="center" wrapText="1"/>
    </xf>
    <xf numFmtId="1" fontId="10" fillId="3" borderId="1" xfId="4" applyNumberFormat="1" applyFont="1" applyFill="1" applyBorder="1" applyAlignment="1">
      <alignment horizontal="center" vertical="center"/>
    </xf>
    <xf numFmtId="2" fontId="10" fillId="3" borderId="1" xfId="4" applyNumberFormat="1" applyFont="1" applyFill="1" applyBorder="1" applyAlignment="1">
      <alignment vertical="center" wrapText="1"/>
    </xf>
    <xf numFmtId="2" fontId="16" fillId="3" borderId="1" xfId="0" quotePrefix="1" applyNumberFormat="1" applyFont="1" applyFill="1" applyBorder="1" applyAlignment="1">
      <alignment horizontal="left" vertical="center" wrapText="1"/>
    </xf>
    <xf numFmtId="3" fontId="11" fillId="3" borderId="1" xfId="4" applyNumberFormat="1" applyFont="1" applyFill="1" applyBorder="1" applyAlignment="1">
      <alignment horizontal="center" vertical="center"/>
    </xf>
    <xf numFmtId="2" fontId="17" fillId="3" borderId="1" xfId="0" quotePrefix="1" applyNumberFormat="1" applyFont="1" applyFill="1" applyBorder="1" applyAlignment="1">
      <alignment horizontal="left" vertical="center" wrapText="1"/>
    </xf>
    <xf numFmtId="49" fontId="17" fillId="3" borderId="1" xfId="0" applyNumberFormat="1" applyFont="1" applyFill="1" applyBorder="1" applyAlignment="1">
      <alignment horizontal="left" vertical="center" wrapText="1"/>
    </xf>
    <xf numFmtId="3" fontId="10" fillId="3" borderId="1" xfId="4" applyNumberFormat="1" applyFont="1" applyFill="1" applyBorder="1" applyAlignment="1">
      <alignment horizontal="center" vertical="center"/>
    </xf>
    <xf numFmtId="2" fontId="7" fillId="3" borderId="1" xfId="4" applyNumberFormat="1" applyFont="1" applyFill="1" applyBorder="1" applyAlignment="1">
      <alignment vertical="center" wrapText="1"/>
    </xf>
    <xf numFmtId="2" fontId="11" fillId="3" borderId="1" xfId="0" applyNumberFormat="1" applyFont="1" applyFill="1" applyBorder="1" applyAlignment="1">
      <alignment horizontal="left" vertical="center" wrapText="1"/>
    </xf>
    <xf numFmtId="0" fontId="10" fillId="0" borderId="1" xfId="0" applyFont="1" applyBorder="1"/>
    <xf numFmtId="2" fontId="10" fillId="3" borderId="1" xfId="0" applyNumberFormat="1" applyFont="1" applyFill="1" applyBorder="1" applyAlignment="1">
      <alignment horizontal="left" vertical="center" wrapText="1"/>
    </xf>
    <xf numFmtId="0" fontId="32" fillId="0" borderId="1" xfId="0" applyFont="1" applyBorder="1" applyAlignment="1">
      <alignment vertical="center"/>
    </xf>
    <xf numFmtId="0" fontId="10" fillId="0" borderId="1" xfId="0" applyFont="1" applyBorder="1" applyAlignment="1">
      <alignment vertical="center"/>
    </xf>
    <xf numFmtId="0" fontId="33" fillId="0" borderId="1" xfId="0" applyFont="1" applyBorder="1" applyAlignment="1"/>
    <xf numFmtId="0" fontId="7" fillId="0" borderId="1" xfId="0" applyFont="1" applyBorder="1" applyAlignment="1"/>
    <xf numFmtId="0" fontId="23" fillId="0" borderId="1" xfId="0" applyFont="1" applyBorder="1"/>
    <xf numFmtId="49" fontId="16"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left" vertical="center" wrapText="1"/>
    </xf>
    <xf numFmtId="49" fontId="17" fillId="3" borderId="1" xfId="0" applyNumberFormat="1" applyFont="1" applyFill="1" applyBorder="1" applyAlignment="1">
      <alignment horizontal="center" vertical="center" wrapText="1"/>
    </xf>
    <xf numFmtId="43" fontId="17" fillId="0" borderId="1" xfId="1" applyFont="1" applyFill="1" applyBorder="1" applyAlignment="1">
      <alignment horizontal="right" vertical="center" wrapText="1"/>
    </xf>
    <xf numFmtId="2" fontId="23" fillId="3" borderId="1" xfId="0" applyNumberFormat="1" applyFont="1" applyFill="1" applyBorder="1" applyAlignment="1">
      <alignment horizontal="left" vertical="center" wrapText="1"/>
    </xf>
    <xf numFmtId="0" fontId="7" fillId="3" borderId="1" xfId="2" applyFont="1" applyFill="1" applyBorder="1" applyAlignment="1">
      <alignment horizontal="center" vertical="center" wrapText="1"/>
    </xf>
    <xf numFmtId="164" fontId="7" fillId="3" borderId="1" xfId="6" applyNumberFormat="1" applyFont="1" applyFill="1" applyBorder="1" applyAlignment="1">
      <alignment horizontal="righ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164" fontId="23" fillId="3" borderId="1" xfId="0" applyNumberFormat="1" applyFont="1" applyFill="1" applyBorder="1" applyAlignment="1">
      <alignment horizontal="right" vertical="center" wrapText="1"/>
    </xf>
    <xf numFmtId="1" fontId="7" fillId="3" borderId="1" xfId="4" applyNumberFormat="1" applyFont="1" applyFill="1" applyBorder="1" applyAlignment="1">
      <alignment horizontal="left" vertical="center" wrapText="1"/>
    </xf>
    <xf numFmtId="49" fontId="34" fillId="3" borderId="1" xfId="4" applyNumberFormat="1" applyFont="1" applyFill="1" applyBorder="1" applyAlignment="1">
      <alignment horizontal="center" vertical="center"/>
    </xf>
    <xf numFmtId="1" fontId="34" fillId="3" borderId="1" xfId="4" applyNumberFormat="1" applyFont="1" applyFill="1" applyBorder="1" applyAlignment="1">
      <alignment horizontal="left" vertical="center" wrapText="1"/>
    </xf>
    <xf numFmtId="164" fontId="34" fillId="3" borderId="1" xfId="6" applyNumberFormat="1" applyFont="1" applyFill="1" applyBorder="1" applyAlignment="1">
      <alignment horizontal="right" vertical="center" wrapText="1"/>
    </xf>
    <xf numFmtId="49" fontId="33" fillId="3" borderId="1" xfId="4" applyNumberFormat="1" applyFont="1" applyFill="1" applyBorder="1" applyAlignment="1">
      <alignment horizontal="center" vertical="center"/>
    </xf>
    <xf numFmtId="0" fontId="23" fillId="0" borderId="1" xfId="0" applyFont="1" applyFill="1" applyBorder="1"/>
    <xf numFmtId="0" fontId="35" fillId="0" borderId="1" xfId="0" applyFont="1" applyBorder="1"/>
    <xf numFmtId="169" fontId="34" fillId="3" borderId="1" xfId="6" applyNumberFormat="1" applyFont="1" applyFill="1" applyBorder="1" applyAlignment="1">
      <alignment horizontal="center" vertical="center" wrapText="1"/>
    </xf>
    <xf numFmtId="169" fontId="7" fillId="3" borderId="1" xfId="6" applyNumberFormat="1" applyFont="1" applyFill="1" applyBorder="1" applyAlignment="1">
      <alignment horizontal="center" vertical="center" wrapText="1"/>
    </xf>
    <xf numFmtId="0" fontId="7" fillId="3" borderId="1" xfId="2" applyFont="1" applyFill="1" applyBorder="1" applyAlignment="1">
      <alignment horizontal="left" vertical="center" wrapText="1"/>
    </xf>
    <xf numFmtId="3" fontId="7" fillId="3" borderId="1" xfId="6" applyNumberFormat="1" applyFont="1" applyFill="1" applyBorder="1" applyAlignment="1">
      <alignment horizontal="right" vertical="center" wrapText="1"/>
    </xf>
    <xf numFmtId="0" fontId="33" fillId="3" borderId="1" xfId="0" applyFont="1" applyFill="1" applyBorder="1" applyAlignment="1">
      <alignment horizontal="center" vertical="center" wrapText="1"/>
    </xf>
    <xf numFmtId="164" fontId="23" fillId="3" borderId="1" xfId="6" applyNumberFormat="1" applyFont="1" applyFill="1" applyBorder="1" applyAlignment="1">
      <alignment horizontal="right" vertical="center" wrapText="1"/>
    </xf>
    <xf numFmtId="169" fontId="23" fillId="3" borderId="1" xfId="6" applyNumberFormat="1" applyFont="1" applyFill="1" applyBorder="1" applyAlignment="1">
      <alignment horizontal="center" vertical="center" wrapText="1"/>
    </xf>
    <xf numFmtId="49" fontId="7" fillId="3" borderId="1" xfId="4" applyNumberFormat="1" applyFont="1" applyFill="1" applyBorder="1" applyAlignment="1">
      <alignment horizontal="center" vertical="center"/>
    </xf>
    <xf numFmtId="49" fontId="23" fillId="3" borderId="1" xfId="4" applyNumberFormat="1" applyFont="1" applyFill="1" applyBorder="1" applyAlignment="1">
      <alignment horizontal="center" vertical="center"/>
    </xf>
    <xf numFmtId="0" fontId="7" fillId="3" borderId="1" xfId="0" applyFont="1" applyFill="1" applyBorder="1" applyAlignment="1">
      <alignment horizontal="center" vertical="center" wrapText="1"/>
    </xf>
    <xf numFmtId="2" fontId="23" fillId="3" borderId="1" xfId="4" applyNumberFormat="1" applyFont="1" applyFill="1" applyBorder="1" applyAlignment="1">
      <alignment horizontal="left" vertical="center" wrapText="1"/>
    </xf>
    <xf numFmtId="1"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164" fontId="7" fillId="3" borderId="1" xfId="0" applyNumberFormat="1" applyFont="1" applyFill="1" applyBorder="1" applyAlignment="1">
      <alignment horizontal="right" vertical="center" wrapText="1"/>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left" vertical="center" wrapText="1"/>
    </xf>
    <xf numFmtId="49" fontId="23" fillId="3" borderId="1" xfId="0" applyNumberFormat="1" applyFont="1" applyFill="1" applyBorder="1" applyAlignment="1">
      <alignment horizontal="center" vertical="center" wrapText="1"/>
    </xf>
    <xf numFmtId="49" fontId="23" fillId="3" borderId="1" xfId="0" applyNumberFormat="1" applyFont="1" applyFill="1" applyBorder="1" applyAlignment="1">
      <alignment horizontal="left" vertical="center" wrapText="1"/>
    </xf>
    <xf numFmtId="0" fontId="23" fillId="3" borderId="1" xfId="0" applyFont="1" applyFill="1" applyBorder="1" applyAlignment="1">
      <alignment vertical="center" wrapText="1"/>
    </xf>
    <xf numFmtId="170" fontId="23" fillId="3" borderId="1" xfId="6" applyNumberFormat="1" applyFont="1" applyFill="1" applyBorder="1" applyAlignment="1">
      <alignment horizontal="right" vertical="center" wrapText="1"/>
    </xf>
    <xf numFmtId="170" fontId="7" fillId="3" borderId="1" xfId="6" applyNumberFormat="1" applyFont="1" applyFill="1" applyBorder="1" applyAlignment="1">
      <alignment horizontal="right" vertical="center" wrapText="1"/>
    </xf>
    <xf numFmtId="0" fontId="23" fillId="3" borderId="1" xfId="0" applyFont="1" applyFill="1" applyBorder="1" applyAlignment="1">
      <alignment horizontal="justify" vertical="center"/>
    </xf>
    <xf numFmtId="0" fontId="7" fillId="3" borderId="1" xfId="0" applyFont="1" applyFill="1" applyBorder="1" applyAlignment="1">
      <alignment vertical="center" wrapText="1"/>
    </xf>
    <xf numFmtId="0" fontId="4" fillId="3" borderId="0" xfId="0" applyFont="1" applyFill="1"/>
    <xf numFmtId="0" fontId="8"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25" fillId="3" borderId="1" xfId="1" applyNumberFormat="1" applyFont="1" applyFill="1" applyBorder="1" applyAlignment="1">
      <alignment vertical="center"/>
    </xf>
    <xf numFmtId="4" fontId="16" fillId="3" borderId="1" xfId="1" applyNumberFormat="1" applyFont="1" applyFill="1" applyBorder="1" applyAlignment="1">
      <alignment vertical="center"/>
    </xf>
    <xf numFmtId="4" fontId="24" fillId="3" borderId="1" xfId="1" applyNumberFormat="1" applyFont="1" applyFill="1" applyBorder="1" applyAlignment="1">
      <alignment vertical="center" wrapText="1"/>
    </xf>
    <xf numFmtId="4" fontId="10" fillId="3" borderId="1" xfId="1" applyNumberFormat="1" applyFont="1" applyFill="1" applyBorder="1" applyAlignment="1">
      <alignment vertical="center" wrapText="1"/>
    </xf>
    <xf numFmtId="0" fontId="23" fillId="3" borderId="0" xfId="0" applyFont="1" applyFill="1"/>
    <xf numFmtId="0" fontId="8"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165" fontId="11" fillId="3" borderId="1" xfId="3" applyNumberFormat="1" applyFont="1" applyFill="1" applyBorder="1" applyAlignment="1">
      <alignment vertical="center"/>
    </xf>
    <xf numFmtId="164" fontId="11" fillId="3" borderId="1" xfId="0" applyNumberFormat="1" applyFont="1" applyFill="1" applyBorder="1" applyAlignment="1">
      <alignment horizontal="right" vertical="center" wrapText="1"/>
    </xf>
    <xf numFmtId="171" fontId="11" fillId="3" borderId="1" xfId="0" applyNumberFormat="1" applyFont="1" applyFill="1" applyBorder="1" applyAlignment="1">
      <alignment vertical="center"/>
    </xf>
    <xf numFmtId="165" fontId="11" fillId="3" borderId="1" xfId="3" applyNumberFormat="1" applyFont="1" applyFill="1" applyBorder="1" applyAlignment="1">
      <alignment horizontal="right" vertical="center" wrapText="1"/>
    </xf>
    <xf numFmtId="164" fontId="11" fillId="3" borderId="1" xfId="0" applyNumberFormat="1" applyFont="1" applyFill="1" applyBorder="1" applyAlignment="1">
      <alignment vertical="center"/>
    </xf>
    <xf numFmtId="172" fontId="11" fillId="3" borderId="1" xfId="1" applyNumberFormat="1" applyFont="1" applyFill="1" applyBorder="1" applyAlignment="1">
      <alignment horizontal="right" vertical="center"/>
    </xf>
    <xf numFmtId="165" fontId="11" fillId="3" borderId="1" xfId="1" applyNumberFormat="1" applyFont="1" applyFill="1" applyBorder="1" applyAlignment="1">
      <alignment horizontal="right" vertical="center" wrapText="1"/>
    </xf>
    <xf numFmtId="0" fontId="36" fillId="3" borderId="1" xfId="0" applyFont="1" applyFill="1" applyBorder="1" applyAlignment="1">
      <alignment horizontal="center" vertical="center" wrapText="1"/>
    </xf>
    <xf numFmtId="165" fontId="11" fillId="3" borderId="1" xfId="5" applyNumberFormat="1" applyFont="1" applyFill="1" applyBorder="1" applyAlignment="1">
      <alignment horizontal="right" vertical="center" wrapText="1"/>
    </xf>
    <xf numFmtId="0" fontId="37" fillId="3" borderId="1" xfId="0" applyFont="1" applyFill="1" applyBorder="1" applyAlignment="1">
      <alignment horizontal="center" vertical="center" wrapText="1"/>
    </xf>
    <xf numFmtId="164" fontId="10" fillId="3" borderId="1" xfId="0" applyNumberFormat="1" applyFont="1" applyFill="1" applyBorder="1" applyAlignment="1">
      <alignment horizontal="right" vertical="center" wrapText="1"/>
    </xf>
    <xf numFmtId="0" fontId="11" fillId="3" borderId="1" xfId="0" applyFont="1" applyFill="1" applyBorder="1" applyAlignment="1">
      <alignment horizontal="right" vertical="center" wrapText="1"/>
    </xf>
    <xf numFmtId="164" fontId="11" fillId="3" borderId="1" xfId="0" applyNumberFormat="1" applyFont="1" applyFill="1" applyBorder="1" applyAlignment="1">
      <alignment horizontal="right" vertical="center"/>
    </xf>
    <xf numFmtId="0" fontId="16" fillId="0" borderId="0" xfId="0" applyFont="1" applyFill="1"/>
    <xf numFmtId="166" fontId="38" fillId="0" borderId="0" xfId="3" applyNumberFormat="1" applyFont="1" applyFill="1"/>
    <xf numFmtId="164" fontId="38" fillId="3" borderId="0" xfId="0" applyNumberFormat="1" applyFont="1" applyFill="1"/>
    <xf numFmtId="164" fontId="38" fillId="0" borderId="0" xfId="0" applyNumberFormat="1" applyFont="1" applyFill="1"/>
    <xf numFmtId="166" fontId="17" fillId="0" borderId="0" xfId="3" applyNumberFormat="1" applyFont="1" applyFill="1"/>
    <xf numFmtId="164" fontId="16" fillId="3" borderId="0" xfId="0" applyNumberFormat="1" applyFont="1" applyFill="1" applyAlignment="1">
      <alignment horizontal="centerContinuous" vertical="center"/>
    </xf>
    <xf numFmtId="164" fontId="16" fillId="0" borderId="0" xfId="0" applyNumberFormat="1" applyFont="1" applyFill="1" applyAlignment="1">
      <alignment horizontal="centerContinuous" vertical="center"/>
    </xf>
    <xf numFmtId="0" fontId="38" fillId="0" borderId="0" xfId="0" applyFont="1" applyFill="1"/>
    <xf numFmtId="0" fontId="39" fillId="0" borderId="0" xfId="0" applyFont="1" applyFill="1"/>
    <xf numFmtId="0" fontId="40" fillId="0" borderId="0" xfId="0" applyFont="1" applyFill="1"/>
    <xf numFmtId="166" fontId="41" fillId="0" borderId="0" xfId="3" applyNumberFormat="1" applyFont="1" applyFill="1"/>
    <xf numFmtId="164" fontId="41" fillId="3" borderId="0" xfId="0" applyNumberFormat="1" applyFont="1" applyFill="1"/>
    <xf numFmtId="164" fontId="41" fillId="0" borderId="0" xfId="0" applyNumberFormat="1" applyFont="1" applyFill="1"/>
    <xf numFmtId="0" fontId="10" fillId="0" borderId="1" xfId="0" applyFont="1" applyFill="1" applyBorder="1" applyAlignment="1">
      <alignment horizontal="center" vertical="center" wrapText="1"/>
    </xf>
    <xf numFmtId="166" fontId="10" fillId="0" borderId="1" xfId="3" quotePrefix="1" applyNumberFormat="1" applyFont="1" applyFill="1" applyBorder="1" applyAlignment="1">
      <alignment horizontal="center" vertical="center" wrapText="1"/>
    </xf>
    <xf numFmtId="166" fontId="10" fillId="3" borderId="1" xfId="3" quotePrefix="1" applyNumberFormat="1" applyFont="1" applyFill="1" applyBorder="1" applyAlignment="1">
      <alignment horizontal="center" vertical="center" wrapText="1"/>
    </xf>
    <xf numFmtId="166" fontId="10" fillId="0" borderId="1" xfId="3" applyNumberFormat="1" applyFont="1" applyFill="1" applyBorder="1" applyAlignment="1">
      <alignment horizontal="center" vertical="center" wrapText="1"/>
    </xf>
    <xf numFmtId="165" fontId="10" fillId="3" borderId="1" xfId="3" quotePrefix="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164" fontId="43" fillId="3" borderId="1" xfId="0" applyNumberFormat="1" applyFont="1" applyFill="1" applyBorder="1" applyAlignment="1">
      <alignment horizontal="right" vertical="center" wrapText="1"/>
    </xf>
    <xf numFmtId="164" fontId="43" fillId="0" borderId="1" xfId="0" applyNumberFormat="1" applyFont="1" applyFill="1" applyBorder="1" applyAlignment="1">
      <alignment vertical="center" wrapText="1"/>
    </xf>
    <xf numFmtId="0" fontId="46" fillId="0" borderId="1" xfId="0" applyFont="1" applyFill="1" applyBorder="1" applyAlignment="1">
      <alignment horizontal="center" vertical="center" wrapText="1"/>
    </xf>
    <xf numFmtId="164" fontId="47" fillId="3" borderId="1" xfId="0" applyNumberFormat="1" applyFont="1" applyFill="1" applyBorder="1" applyAlignment="1">
      <alignment horizontal="right" vertical="center" wrapText="1"/>
    </xf>
    <xf numFmtId="164" fontId="47" fillId="0" borderId="1" xfId="0" applyNumberFormat="1" applyFont="1" applyFill="1" applyBorder="1" applyAlignment="1">
      <alignment vertical="center" wrapText="1"/>
    </xf>
    <xf numFmtId="0" fontId="44" fillId="0" borderId="1" xfId="0" applyFont="1" applyFill="1" applyBorder="1" applyAlignment="1">
      <alignment horizontal="center" vertical="center" wrapText="1"/>
    </xf>
    <xf numFmtId="164" fontId="44" fillId="3" borderId="1" xfId="0" applyNumberFormat="1" applyFont="1" applyFill="1" applyBorder="1" applyAlignment="1">
      <alignment horizontal="right" vertical="center"/>
    </xf>
    <xf numFmtId="164" fontId="44" fillId="0" borderId="1" xfId="0" applyNumberFormat="1" applyFont="1" applyFill="1" applyBorder="1" applyAlignment="1">
      <alignment vertical="center" wrapText="1"/>
    </xf>
    <xf numFmtId="0" fontId="43" fillId="0" borderId="1" xfId="0" applyFont="1" applyFill="1" applyBorder="1" applyAlignment="1">
      <alignment horizontal="center" vertical="center" wrapText="1"/>
    </xf>
    <xf numFmtId="164" fontId="43" fillId="3" borderId="1" xfId="0" applyNumberFormat="1" applyFont="1" applyFill="1" applyBorder="1" applyAlignment="1">
      <alignment horizontal="right" vertical="center"/>
    </xf>
    <xf numFmtId="164" fontId="43" fillId="0" borderId="1" xfId="0" applyNumberFormat="1" applyFont="1" applyFill="1" applyBorder="1" applyAlignment="1">
      <alignment horizontal="right" vertical="center"/>
    </xf>
    <xf numFmtId="164" fontId="43" fillId="3" borderId="1" xfId="0" applyNumberFormat="1" applyFont="1" applyFill="1" applyBorder="1" applyAlignment="1">
      <alignment vertical="center" wrapText="1"/>
    </xf>
    <xf numFmtId="164" fontId="7" fillId="3" borderId="1" xfId="0" applyNumberFormat="1" applyFont="1" applyFill="1" applyBorder="1" applyAlignment="1">
      <alignment horizontal="right" vertical="center"/>
    </xf>
    <xf numFmtId="0" fontId="48" fillId="0" borderId="1" xfId="0" applyFont="1" applyFill="1" applyBorder="1" applyAlignment="1">
      <alignment horizontal="center" vertical="center" wrapText="1"/>
    </xf>
    <xf numFmtId="164" fontId="44" fillId="3" borderId="1" xfId="0" applyNumberFormat="1" applyFont="1" applyFill="1" applyBorder="1" applyAlignment="1">
      <alignment vertical="center" wrapText="1"/>
    </xf>
    <xf numFmtId="164" fontId="47" fillId="3" borderId="1" xfId="0" applyNumberFormat="1" applyFont="1" applyFill="1" applyBorder="1" applyAlignment="1">
      <alignment vertical="center" wrapText="1"/>
    </xf>
    <xf numFmtId="164" fontId="44" fillId="3" borderId="1" xfId="0" applyNumberFormat="1" applyFont="1" applyFill="1" applyBorder="1" applyAlignment="1">
      <alignment horizontal="right" vertical="center" wrapText="1"/>
    </xf>
    <xf numFmtId="164" fontId="7" fillId="3" borderId="1" xfId="0" applyNumberFormat="1" applyFont="1" applyFill="1" applyBorder="1" applyAlignment="1">
      <alignment vertical="center" wrapText="1"/>
    </xf>
    <xf numFmtId="0" fontId="11" fillId="3" borderId="1" xfId="0" applyFont="1" applyFill="1" applyBorder="1" applyAlignment="1">
      <alignment vertical="center"/>
    </xf>
    <xf numFmtId="0" fontId="31" fillId="0" borderId="1" xfId="0" applyFont="1" applyFill="1" applyBorder="1" applyAlignment="1">
      <alignment horizontal="center" vertical="center" wrapText="1"/>
    </xf>
    <xf numFmtId="164" fontId="35" fillId="3" borderId="1" xfId="0" applyNumberFormat="1" applyFont="1" applyFill="1" applyBorder="1" applyAlignment="1">
      <alignment vertical="center" wrapText="1"/>
    </xf>
    <xf numFmtId="164" fontId="35" fillId="0" borderId="1" xfId="0" applyNumberFormat="1" applyFont="1" applyFill="1" applyBorder="1" applyAlignment="1">
      <alignment vertical="center" wrapText="1"/>
    </xf>
    <xf numFmtId="0" fontId="8" fillId="0" borderId="0" xfId="0" applyFont="1" applyFill="1" applyAlignment="1">
      <alignment horizontal="center" vertical="center"/>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0" borderId="0" xfId="0" applyFont="1" applyAlignment="1">
      <alignment horizontal="center" vertical="center"/>
    </xf>
    <xf numFmtId="0" fontId="22" fillId="0" borderId="2" xfId="0" applyFont="1" applyBorder="1" applyAlignment="1">
      <alignment horizontal="center" vertical="center"/>
    </xf>
    <xf numFmtId="0" fontId="26" fillId="0" borderId="0" xfId="0" applyFont="1" applyAlignment="1">
      <alignment horizontal="center"/>
    </xf>
    <xf numFmtId="0" fontId="19" fillId="0" borderId="0" xfId="0" applyFont="1" applyFill="1" applyAlignment="1">
      <alignment horizontal="center" vertical="center"/>
    </xf>
    <xf numFmtId="0" fontId="16" fillId="0" borderId="0" xfId="0" applyFont="1" applyFill="1" applyAlignment="1">
      <alignment horizontal="right"/>
    </xf>
    <xf numFmtId="0" fontId="18" fillId="0" borderId="0" xfId="0" applyFont="1" applyFill="1" applyAlignment="1">
      <alignment horizontal="center" vertical="center"/>
    </xf>
    <xf numFmtId="0" fontId="42" fillId="0" borderId="0" xfId="0" applyFont="1" applyFill="1" applyBorder="1" applyAlignment="1">
      <alignment horizontal="right" vertical="center"/>
    </xf>
    <xf numFmtId="0" fontId="10" fillId="0" borderId="1" xfId="0" applyFont="1" applyFill="1" applyBorder="1" applyAlignment="1">
      <alignment horizontal="center" vertical="center" wrapText="1"/>
    </xf>
    <xf numFmtId="166" fontId="10" fillId="0" borderId="1" xfId="3"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3" fillId="2" borderId="0" xfId="0" applyFont="1" applyFill="1" applyAlignment="1">
      <alignment horizontal="center" vertical="center"/>
    </xf>
    <xf numFmtId="0" fontId="8" fillId="0" borderId="0" xfId="0" applyFont="1" applyAlignment="1">
      <alignment horizontal="center" vertical="center"/>
    </xf>
    <xf numFmtId="0" fontId="26"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center" vertical="center"/>
    </xf>
    <xf numFmtId="0" fontId="32" fillId="0" borderId="2" xfId="0" applyFont="1" applyBorder="1" applyAlignment="1">
      <alignment horizontal="center" vertical="center"/>
    </xf>
    <xf numFmtId="0" fontId="27" fillId="0" borderId="0" xfId="0" applyFont="1" applyAlignment="1">
      <alignment horizontal="center" vertical="center"/>
    </xf>
  </cellXfs>
  <cellStyles count="8">
    <cellStyle name="Comma" xfId="1" builtinId="3"/>
    <cellStyle name="Comma 12 2" xfId="5"/>
    <cellStyle name="Comma 2 2" xfId="7"/>
    <cellStyle name="Comma 3" xfId="3"/>
    <cellStyle name="Comma 4" xfId="6"/>
    <cellStyle name="Normal" xfId="0" builtinId="0"/>
    <cellStyle name="Normal 4" xfId="2"/>
    <cellStyle name="Normal_Bieu mau (CV )"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3" name="Line 2"/>
        <xdr:cNvSpPr>
          <a:spLocks noChangeShapeType="1"/>
        </xdr:cNvSpPr>
      </xdr:nvSpPr>
      <xdr:spPr bwMode="auto">
        <a:xfrm>
          <a:off x="5676900"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5" name="Line 2"/>
        <xdr:cNvSpPr>
          <a:spLocks noChangeShapeType="1"/>
        </xdr:cNvSpPr>
      </xdr:nvSpPr>
      <xdr:spPr bwMode="auto">
        <a:xfrm>
          <a:off x="5676900"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7" name="Line 2"/>
        <xdr:cNvSpPr>
          <a:spLocks noChangeShapeType="1"/>
        </xdr:cNvSpPr>
      </xdr:nvSpPr>
      <xdr:spPr bwMode="auto">
        <a:xfrm>
          <a:off x="5676900"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9" name="Line 2"/>
        <xdr:cNvSpPr>
          <a:spLocks noChangeShapeType="1"/>
        </xdr:cNvSpPr>
      </xdr:nvSpPr>
      <xdr:spPr bwMode="auto">
        <a:xfrm>
          <a:off x="5676900" y="62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zoomScaleNormal="100" workbookViewId="0">
      <selection activeCell="B98" sqref="B98"/>
    </sheetView>
  </sheetViews>
  <sheetFormatPr defaultRowHeight="15.75" x14ac:dyDescent="0.25"/>
  <cols>
    <col min="1" max="1" width="5.5703125" style="2" customWidth="1"/>
    <col min="2" max="2" width="34.5703125" style="2" customWidth="1"/>
    <col min="3" max="3" width="15.28515625" style="22" customWidth="1"/>
    <col min="4" max="4" width="15.42578125" style="2" customWidth="1"/>
    <col min="5" max="5" width="16.140625" style="2" customWidth="1"/>
    <col min="6" max="6" width="13.7109375" style="124" bestFit="1" customWidth="1"/>
    <col min="7" max="7" width="13.7109375" style="124" customWidth="1"/>
    <col min="8" max="8" width="13.42578125" style="124" customWidth="1"/>
    <col min="9" max="9" width="13.7109375" style="124" customWidth="1"/>
    <col min="10" max="10" width="13" style="2" customWidth="1"/>
    <col min="11" max="16384" width="9.140625" style="2"/>
  </cols>
  <sheetData>
    <row r="1" spans="1:10" ht="19.5" customHeight="1" x14ac:dyDescent="0.25">
      <c r="A1" s="4"/>
      <c r="H1" s="194" t="s">
        <v>0</v>
      </c>
      <c r="I1" s="194"/>
      <c r="J1" s="194"/>
    </row>
    <row r="2" spans="1:10" x14ac:dyDescent="0.25">
      <c r="A2" s="1"/>
    </row>
    <row r="3" spans="1:10" ht="23.25" customHeight="1" x14ac:dyDescent="0.25">
      <c r="A3" s="197" t="s">
        <v>141</v>
      </c>
      <c r="B3" s="197"/>
      <c r="C3" s="197"/>
      <c r="D3" s="197"/>
      <c r="E3" s="197"/>
      <c r="F3" s="197"/>
      <c r="G3" s="197"/>
      <c r="H3" s="197"/>
      <c r="I3" s="197"/>
      <c r="J3" s="197"/>
    </row>
    <row r="4" spans="1:10" ht="18.75" x14ac:dyDescent="0.3">
      <c r="A4" s="199" t="s">
        <v>388</v>
      </c>
      <c r="B4" s="199"/>
      <c r="C4" s="199"/>
      <c r="D4" s="199"/>
      <c r="E4" s="199"/>
      <c r="F4" s="199"/>
      <c r="G4" s="199"/>
      <c r="H4" s="199"/>
      <c r="I4" s="199"/>
      <c r="J4" s="199"/>
    </row>
    <row r="5" spans="1:10" ht="21.75" customHeight="1" x14ac:dyDescent="0.25">
      <c r="H5" s="198" t="s">
        <v>1</v>
      </c>
      <c r="I5" s="198"/>
      <c r="J5" s="198"/>
    </row>
    <row r="6" spans="1:10" ht="38.25" customHeight="1" x14ac:dyDescent="0.25">
      <c r="A6" s="196" t="s">
        <v>15</v>
      </c>
      <c r="B6" s="196" t="s">
        <v>16</v>
      </c>
      <c r="C6" s="196" t="s">
        <v>334</v>
      </c>
      <c r="D6" s="196" t="s">
        <v>2</v>
      </c>
      <c r="E6" s="196" t="s">
        <v>162</v>
      </c>
      <c r="F6" s="195" t="s">
        <v>3</v>
      </c>
      <c r="G6" s="195"/>
      <c r="H6" s="195" t="s">
        <v>4</v>
      </c>
      <c r="I6" s="195"/>
      <c r="J6" s="196" t="s">
        <v>5</v>
      </c>
    </row>
    <row r="7" spans="1:10" ht="37.5" customHeight="1" x14ac:dyDescent="0.25">
      <c r="A7" s="196"/>
      <c r="B7" s="196"/>
      <c r="C7" s="196"/>
      <c r="D7" s="196"/>
      <c r="E7" s="196"/>
      <c r="F7" s="132" t="s">
        <v>6</v>
      </c>
      <c r="G7" s="132" t="s">
        <v>7</v>
      </c>
      <c r="H7" s="132" t="s">
        <v>6</v>
      </c>
      <c r="I7" s="125" t="s">
        <v>7</v>
      </c>
      <c r="J7" s="196"/>
    </row>
    <row r="8" spans="1:10" x14ac:dyDescent="0.25">
      <c r="A8" s="9">
        <v>1</v>
      </c>
      <c r="B8" s="9">
        <v>2</v>
      </c>
      <c r="C8" s="9">
        <v>3</v>
      </c>
      <c r="D8" s="9">
        <v>4</v>
      </c>
      <c r="E8" s="9">
        <v>5</v>
      </c>
      <c r="F8" s="126">
        <v>6</v>
      </c>
      <c r="G8" s="126">
        <v>7</v>
      </c>
      <c r="H8" s="126">
        <v>8</v>
      </c>
      <c r="I8" s="126">
        <v>9</v>
      </c>
      <c r="J8" s="9">
        <v>10</v>
      </c>
    </row>
    <row r="9" spans="1:10" ht="23.25" customHeight="1" x14ac:dyDescent="0.25">
      <c r="A9" s="87"/>
      <c r="B9" s="87" t="s">
        <v>163</v>
      </c>
      <c r="C9" s="88">
        <f t="shared" ref="C9:I9" si="0">C10+C84+C192</f>
        <v>657463.36869500007</v>
      </c>
      <c r="D9" s="88">
        <f t="shared" si="0"/>
        <v>645048.842359</v>
      </c>
      <c r="E9" s="88">
        <f t="shared" si="0"/>
        <v>184569.03816799997</v>
      </c>
      <c r="F9" s="88">
        <f t="shared" si="0"/>
        <v>48147.111623999997</v>
      </c>
      <c r="G9" s="88">
        <f t="shared" si="0"/>
        <v>40309.124946000004</v>
      </c>
      <c r="H9" s="88">
        <f t="shared" si="0"/>
        <v>66823.037228000001</v>
      </c>
      <c r="I9" s="88">
        <f t="shared" si="0"/>
        <v>52431.704090000007</v>
      </c>
      <c r="J9" s="8"/>
    </row>
    <row r="10" spans="1:10" ht="29.25" customHeight="1" x14ac:dyDescent="0.25">
      <c r="A10" s="89" t="s">
        <v>12</v>
      </c>
      <c r="B10" s="90" t="s">
        <v>111</v>
      </c>
      <c r="C10" s="88">
        <f>C11+C26</f>
        <v>605603.64445600007</v>
      </c>
      <c r="D10" s="88">
        <f t="shared" ref="D10:I10" si="1">D11+D26</f>
        <v>593192.86992700002</v>
      </c>
      <c r="E10" s="88">
        <f t="shared" si="1"/>
        <v>142287.43116799998</v>
      </c>
      <c r="F10" s="88">
        <f t="shared" si="1"/>
        <v>8885.464879000001</v>
      </c>
      <c r="G10" s="88">
        <f t="shared" si="1"/>
        <v>2435.4712009999998</v>
      </c>
      <c r="H10" s="88">
        <f t="shared" si="1"/>
        <v>17609.255976</v>
      </c>
      <c r="I10" s="88">
        <f t="shared" si="1"/>
        <v>10255.915838000001</v>
      </c>
      <c r="J10" s="8"/>
    </row>
    <row r="11" spans="1:10" ht="39" customHeight="1" x14ac:dyDescent="0.25">
      <c r="A11" s="89" t="s">
        <v>46</v>
      </c>
      <c r="B11" s="91" t="s">
        <v>112</v>
      </c>
      <c r="C11" s="88">
        <f>C12+C16</f>
        <v>144855.74820500001</v>
      </c>
      <c r="D11" s="88">
        <f t="shared" ref="D11:I11" si="2">D12+D16</f>
        <v>141699.82957599999</v>
      </c>
      <c r="E11" s="88">
        <f t="shared" si="2"/>
        <v>10613</v>
      </c>
      <c r="F11" s="88">
        <f t="shared" si="2"/>
        <v>8885.464879000001</v>
      </c>
      <c r="G11" s="88">
        <f t="shared" si="2"/>
        <v>2435.4712009999998</v>
      </c>
      <c r="H11" s="88">
        <f t="shared" si="2"/>
        <v>17609.255976</v>
      </c>
      <c r="I11" s="88">
        <f t="shared" si="2"/>
        <v>10255.915838000001</v>
      </c>
      <c r="J11" s="8"/>
    </row>
    <row r="12" spans="1:10" s="3" customFormat="1" ht="27.75" customHeight="1" x14ac:dyDescent="0.2">
      <c r="A12" s="89" t="s">
        <v>48</v>
      </c>
      <c r="B12" s="90" t="s">
        <v>10</v>
      </c>
      <c r="C12" s="88">
        <f>SUM(C13:C15)</f>
        <v>83393.093322000001</v>
      </c>
      <c r="D12" s="88">
        <f t="shared" ref="D12:I12" si="3">SUM(D13:D15)</f>
        <v>83378.731065</v>
      </c>
      <c r="E12" s="88">
        <f t="shared" si="3"/>
        <v>1000</v>
      </c>
      <c r="F12" s="88">
        <f t="shared" si="3"/>
        <v>1547.133</v>
      </c>
      <c r="G12" s="88">
        <f t="shared" si="3"/>
        <v>975.14499999999998</v>
      </c>
      <c r="H12" s="88">
        <f t="shared" si="3"/>
        <v>1547.133</v>
      </c>
      <c r="I12" s="88">
        <f t="shared" si="3"/>
        <v>999.87799999999993</v>
      </c>
      <c r="J12" s="25"/>
    </row>
    <row r="13" spans="1:10" ht="30.75" customHeight="1" x14ac:dyDescent="0.25">
      <c r="A13" s="133">
        <v>1</v>
      </c>
      <c r="B13" s="134" t="s">
        <v>95</v>
      </c>
      <c r="C13" s="135">
        <v>9399.8729739999999</v>
      </c>
      <c r="D13" s="136">
        <f>C13</f>
        <v>9399.8729739999999</v>
      </c>
      <c r="E13" s="137">
        <v>160</v>
      </c>
      <c r="F13" s="136">
        <v>459.87799999999999</v>
      </c>
      <c r="G13" s="136">
        <v>135.14500000000001</v>
      </c>
      <c r="H13" s="136">
        <f>300+159.878</f>
        <v>459.87799999999999</v>
      </c>
      <c r="I13" s="136">
        <v>159.87799999999999</v>
      </c>
      <c r="J13" s="8"/>
    </row>
    <row r="14" spans="1:10" ht="32.25" customHeight="1" x14ac:dyDescent="0.25">
      <c r="A14" s="133">
        <v>2</v>
      </c>
      <c r="B14" s="134" t="s">
        <v>96</v>
      </c>
      <c r="C14" s="135">
        <v>49996.998124999998</v>
      </c>
      <c r="D14" s="136">
        <v>49994.571778999998</v>
      </c>
      <c r="E14" s="137">
        <v>580</v>
      </c>
      <c r="F14" s="136">
        <f>580+247.255</f>
        <v>827.255</v>
      </c>
      <c r="G14" s="136">
        <v>580</v>
      </c>
      <c r="H14" s="136">
        <f>580+247.255</f>
        <v>827.255</v>
      </c>
      <c r="I14" s="136">
        <v>580</v>
      </c>
      <c r="J14" s="8"/>
    </row>
    <row r="15" spans="1:10" ht="44.25" customHeight="1" x14ac:dyDescent="0.25">
      <c r="A15" s="133">
        <v>3</v>
      </c>
      <c r="B15" s="134" t="s">
        <v>73</v>
      </c>
      <c r="C15" s="135">
        <v>23996.222223000001</v>
      </c>
      <c r="D15" s="136">
        <v>23984.286312</v>
      </c>
      <c r="E15" s="137">
        <v>260</v>
      </c>
      <c r="F15" s="136">
        <v>260</v>
      </c>
      <c r="G15" s="136">
        <v>260</v>
      </c>
      <c r="H15" s="136">
        <v>260</v>
      </c>
      <c r="I15" s="136">
        <v>260</v>
      </c>
      <c r="J15" s="8"/>
    </row>
    <row r="16" spans="1:10" ht="27.75" customHeight="1" x14ac:dyDescent="0.25">
      <c r="A16" s="89" t="s">
        <v>49</v>
      </c>
      <c r="B16" s="91" t="s">
        <v>29</v>
      </c>
      <c r="C16" s="88">
        <f>C17</f>
        <v>61462.654882999996</v>
      </c>
      <c r="D16" s="88">
        <f t="shared" ref="D16:I16" si="4">D17</f>
        <v>58321.098511000004</v>
      </c>
      <c r="E16" s="88">
        <f t="shared" si="4"/>
        <v>9613</v>
      </c>
      <c r="F16" s="88">
        <f t="shared" si="4"/>
        <v>7338.3318790000003</v>
      </c>
      <c r="G16" s="88">
        <f t="shared" si="4"/>
        <v>1460.3262009999999</v>
      </c>
      <c r="H16" s="88">
        <f t="shared" si="4"/>
        <v>16062.122976000001</v>
      </c>
      <c r="I16" s="88">
        <f t="shared" si="4"/>
        <v>9256.0378380000002</v>
      </c>
      <c r="J16" s="8"/>
    </row>
    <row r="17" spans="1:10" ht="20.25" customHeight="1" x14ac:dyDescent="0.25">
      <c r="A17" s="87">
        <v>1</v>
      </c>
      <c r="B17" s="94" t="s">
        <v>43</v>
      </c>
      <c r="C17" s="88">
        <f>C18+C20</f>
        <v>61462.654882999996</v>
      </c>
      <c r="D17" s="88">
        <f t="shared" ref="D17:I17" si="5">D18+D20</f>
        <v>58321.098511000004</v>
      </c>
      <c r="E17" s="88">
        <f t="shared" si="5"/>
        <v>9613</v>
      </c>
      <c r="F17" s="88">
        <f t="shared" si="5"/>
        <v>7338.3318790000003</v>
      </c>
      <c r="G17" s="88">
        <f t="shared" si="5"/>
        <v>1460.3262009999999</v>
      </c>
      <c r="H17" s="88">
        <f t="shared" si="5"/>
        <v>16062.122976000001</v>
      </c>
      <c r="I17" s="88">
        <f t="shared" si="5"/>
        <v>9256.0378380000002</v>
      </c>
      <c r="J17" s="8"/>
    </row>
    <row r="18" spans="1:10" ht="55.5" customHeight="1" x14ac:dyDescent="0.25">
      <c r="A18" s="95" t="s">
        <v>97</v>
      </c>
      <c r="B18" s="96" t="s">
        <v>164</v>
      </c>
      <c r="C18" s="97">
        <f t="shared" ref="C18:I18" si="6">C19</f>
        <v>9598.0894939999998</v>
      </c>
      <c r="D18" s="97">
        <f t="shared" si="6"/>
        <v>9598.0894939999998</v>
      </c>
      <c r="E18" s="97">
        <f t="shared" si="6"/>
        <v>64</v>
      </c>
      <c r="F18" s="97">
        <f t="shared" si="6"/>
        <v>5081.8583390000003</v>
      </c>
      <c r="G18" s="97">
        <f t="shared" si="6"/>
        <v>82.832200999999998</v>
      </c>
      <c r="H18" s="97">
        <f t="shared" si="6"/>
        <v>5081.8583390000003</v>
      </c>
      <c r="I18" s="97">
        <f t="shared" si="6"/>
        <v>63.773201</v>
      </c>
      <c r="J18" s="81"/>
    </row>
    <row r="19" spans="1:10" ht="40.5" customHeight="1" x14ac:dyDescent="0.25">
      <c r="A19" s="98" t="s">
        <v>45</v>
      </c>
      <c r="B19" s="92" t="s">
        <v>165</v>
      </c>
      <c r="C19" s="138">
        <v>9598.0894939999998</v>
      </c>
      <c r="D19" s="136">
        <f>C19</f>
        <v>9598.0894939999998</v>
      </c>
      <c r="E19" s="137">
        <f>3250-2750-436</f>
        <v>64</v>
      </c>
      <c r="F19" s="136">
        <v>5081.8583390000003</v>
      </c>
      <c r="G19" s="136">
        <v>82.832200999999998</v>
      </c>
      <c r="H19" s="136">
        <v>5081.8583390000003</v>
      </c>
      <c r="I19" s="136">
        <v>63.773201</v>
      </c>
      <c r="J19" s="81"/>
    </row>
    <row r="20" spans="1:10" s="14" customFormat="1" ht="31.5" x14ac:dyDescent="0.25">
      <c r="A20" s="95" t="s">
        <v>98</v>
      </c>
      <c r="B20" s="96" t="s">
        <v>166</v>
      </c>
      <c r="C20" s="97">
        <f>SUM(C21:C23)</f>
        <v>51864.565388999996</v>
      </c>
      <c r="D20" s="97">
        <f t="shared" ref="D20:I20" si="7">SUM(D21:D23)</f>
        <v>48723.009017000004</v>
      </c>
      <c r="E20" s="97">
        <f t="shared" si="7"/>
        <v>9549</v>
      </c>
      <c r="F20" s="97">
        <f t="shared" si="7"/>
        <v>2256.47354</v>
      </c>
      <c r="G20" s="97">
        <f t="shared" si="7"/>
        <v>1377.4939999999999</v>
      </c>
      <c r="H20" s="97">
        <f t="shared" si="7"/>
        <v>10980.264637</v>
      </c>
      <c r="I20" s="97">
        <f t="shared" si="7"/>
        <v>9192.2646370000002</v>
      </c>
      <c r="J20" s="99"/>
    </row>
    <row r="21" spans="1:10" s="13" customFormat="1" ht="31.5" x14ac:dyDescent="0.25">
      <c r="A21" s="98" t="s">
        <v>45</v>
      </c>
      <c r="B21" s="92" t="s">
        <v>100</v>
      </c>
      <c r="C21" s="138">
        <v>28399.272475000002</v>
      </c>
      <c r="D21" s="136">
        <v>25277.781047</v>
      </c>
      <c r="E21" s="137">
        <f>3363+1500</f>
        <v>4863</v>
      </c>
      <c r="F21" s="136">
        <f>1114.13654-6.939</f>
        <v>1107.1975399999999</v>
      </c>
      <c r="G21" s="136">
        <f>605.211-6.939</f>
        <v>598.27200000000005</v>
      </c>
      <c r="H21" s="136">
        <f>500+4863</f>
        <v>5363</v>
      </c>
      <c r="I21" s="136">
        <v>4863</v>
      </c>
      <c r="J21" s="100"/>
    </row>
    <row r="22" spans="1:10" ht="63" x14ac:dyDescent="0.25">
      <c r="A22" s="98" t="s">
        <v>61</v>
      </c>
      <c r="B22" s="92" t="s">
        <v>167</v>
      </c>
      <c r="C22" s="138">
        <v>19671.297710999999</v>
      </c>
      <c r="D22" s="136">
        <v>19665.145001000001</v>
      </c>
      <c r="E22" s="137">
        <f>1800+1250+436+1200</f>
        <v>4686</v>
      </c>
      <c r="F22" s="136">
        <v>1024.1679999999999</v>
      </c>
      <c r="G22" s="136">
        <v>654.11400000000003</v>
      </c>
      <c r="H22" s="136">
        <f>668+4329.264637</f>
        <v>4997.2646370000002</v>
      </c>
      <c r="I22" s="136">
        <v>4329.2646370000002</v>
      </c>
      <c r="J22" s="81"/>
    </row>
    <row r="23" spans="1:10" ht="31.5" x14ac:dyDescent="0.25">
      <c r="A23" s="98" t="s">
        <v>63</v>
      </c>
      <c r="B23" s="92" t="s">
        <v>168</v>
      </c>
      <c r="C23" s="138">
        <v>3793.9952029999999</v>
      </c>
      <c r="D23" s="136">
        <v>3780.082969</v>
      </c>
      <c r="E23" s="137">
        <f>1200-1200</f>
        <v>0</v>
      </c>
      <c r="F23" s="139">
        <v>125.108</v>
      </c>
      <c r="G23" s="139">
        <v>125.108</v>
      </c>
      <c r="H23" s="139">
        <v>620</v>
      </c>
      <c r="I23" s="139"/>
      <c r="J23" s="81"/>
    </row>
    <row r="24" spans="1:10" ht="35.25" customHeight="1" x14ac:dyDescent="0.25">
      <c r="A24" s="95" t="s">
        <v>99</v>
      </c>
      <c r="B24" s="96" t="s">
        <v>169</v>
      </c>
      <c r="C24" s="101"/>
      <c r="D24" s="101"/>
      <c r="E24" s="27"/>
      <c r="F24" s="28"/>
      <c r="G24" s="28"/>
      <c r="H24" s="28"/>
      <c r="I24" s="28"/>
      <c r="J24" s="81"/>
    </row>
    <row r="25" spans="1:10" ht="32.25" customHeight="1" x14ac:dyDescent="0.25">
      <c r="A25" s="95" t="s">
        <v>170</v>
      </c>
      <c r="B25" s="96" t="s">
        <v>171</v>
      </c>
      <c r="C25" s="102"/>
      <c r="D25" s="102"/>
      <c r="E25" s="27"/>
      <c r="F25" s="28"/>
      <c r="G25" s="28"/>
      <c r="H25" s="28"/>
      <c r="I25" s="28"/>
      <c r="J25" s="81"/>
    </row>
    <row r="26" spans="1:10" ht="23.25" customHeight="1" x14ac:dyDescent="0.25">
      <c r="A26" s="87" t="s">
        <v>47</v>
      </c>
      <c r="B26" s="103" t="s">
        <v>37</v>
      </c>
      <c r="C26" s="88">
        <f>C27+C42+C49+C57+C63+C80+C82</f>
        <v>460747.896251</v>
      </c>
      <c r="D26" s="88">
        <f>D27+D42+D49+D57+D63+D80+D82</f>
        <v>451493.04035100003</v>
      </c>
      <c r="E26" s="88">
        <f t="shared" ref="E26" si="8">E27+E42+E49+E57+E63+E80+E82</f>
        <v>131674.43116799998</v>
      </c>
      <c r="F26" s="28"/>
      <c r="G26" s="28"/>
      <c r="H26" s="28"/>
      <c r="I26" s="28"/>
      <c r="J26" s="81"/>
    </row>
    <row r="27" spans="1:10" ht="20.25" customHeight="1" x14ac:dyDescent="0.25">
      <c r="A27" s="87">
        <v>1</v>
      </c>
      <c r="B27" s="94" t="s">
        <v>43</v>
      </c>
      <c r="C27" s="97">
        <f>C28+C29+C37+C38</f>
        <v>143591.98435000001</v>
      </c>
      <c r="D27" s="97">
        <f>D28+D29+D37+D38</f>
        <v>137772.95838600001</v>
      </c>
      <c r="E27" s="97">
        <f t="shared" ref="E27" si="9">E28+E29+E37+E38</f>
        <v>32587.523260000002</v>
      </c>
      <c r="F27" s="128"/>
      <c r="G27" s="128"/>
      <c r="H27" s="128"/>
      <c r="I27" s="128"/>
      <c r="J27" s="81"/>
    </row>
    <row r="28" spans="1:10" ht="47.25" x14ac:dyDescent="0.25">
      <c r="A28" s="95" t="s">
        <v>97</v>
      </c>
      <c r="B28" s="96" t="s">
        <v>164</v>
      </c>
      <c r="C28" s="101"/>
      <c r="D28" s="101"/>
      <c r="E28" s="104"/>
      <c r="F28" s="127"/>
      <c r="G28" s="127"/>
      <c r="H28" s="127"/>
      <c r="I28" s="127"/>
      <c r="J28" s="81"/>
    </row>
    <row r="29" spans="1:10" ht="46.5" customHeight="1" x14ac:dyDescent="0.25">
      <c r="A29" s="95" t="s">
        <v>98</v>
      </c>
      <c r="B29" s="96" t="s">
        <v>166</v>
      </c>
      <c r="C29" s="97">
        <f>SUM(C30:C36)</f>
        <v>141392.44472500001</v>
      </c>
      <c r="D29" s="97">
        <f>SUM(D30:D36)</f>
        <v>135573.41876100001</v>
      </c>
      <c r="E29" s="97">
        <f t="shared" ref="E29:I29" si="10">SUM(E30:E36)</f>
        <v>24498.523260000002</v>
      </c>
      <c r="F29" s="97">
        <f t="shared" si="10"/>
        <v>44184.862491</v>
      </c>
      <c r="G29" s="97">
        <f t="shared" si="10"/>
        <v>1830.580905</v>
      </c>
      <c r="H29" s="97">
        <f t="shared" si="10"/>
        <v>52466.509551999996</v>
      </c>
      <c r="I29" s="97">
        <f t="shared" si="10"/>
        <v>5111.8246490000001</v>
      </c>
      <c r="J29" s="81"/>
    </row>
    <row r="30" spans="1:10" ht="58.5" customHeight="1" x14ac:dyDescent="0.25">
      <c r="A30" s="105">
        <v>1</v>
      </c>
      <c r="B30" s="92" t="s">
        <v>30</v>
      </c>
      <c r="C30" s="138">
        <v>44348.585447999998</v>
      </c>
      <c r="D30" s="140">
        <v>40341.902168000001</v>
      </c>
      <c r="E30" s="137">
        <f>3600-3600</f>
        <v>0</v>
      </c>
      <c r="F30" s="141">
        <v>29713.240645000002</v>
      </c>
      <c r="G30" s="141"/>
      <c r="H30" s="141">
        <v>29906.764224999999</v>
      </c>
      <c r="I30" s="136"/>
      <c r="J30" s="142" t="s">
        <v>339</v>
      </c>
    </row>
    <row r="31" spans="1:10" ht="66.75" customHeight="1" x14ac:dyDescent="0.25">
      <c r="A31" s="105">
        <v>2</v>
      </c>
      <c r="B31" s="92" t="s">
        <v>51</v>
      </c>
      <c r="C31" s="138">
        <v>19999.935842999999</v>
      </c>
      <c r="D31" s="136">
        <f>C31</f>
        <v>19999.935842999999</v>
      </c>
      <c r="E31" s="143">
        <f>8000+1238.52326</f>
        <v>9238.5232599999999</v>
      </c>
      <c r="F31" s="141">
        <v>7513.4775719999998</v>
      </c>
      <c r="G31" s="136"/>
      <c r="H31" s="141">
        <v>12648.456199</v>
      </c>
      <c r="I31" s="136">
        <v>1886.9794589999999</v>
      </c>
      <c r="J31" s="144" t="s">
        <v>340</v>
      </c>
    </row>
    <row r="32" spans="1:10" ht="39" customHeight="1" x14ac:dyDescent="0.25">
      <c r="A32" s="105">
        <v>3</v>
      </c>
      <c r="B32" s="92" t="s">
        <v>172</v>
      </c>
      <c r="C32" s="138">
        <v>34958.873001</v>
      </c>
      <c r="D32" s="136">
        <v>34955.763426999998</v>
      </c>
      <c r="E32" s="143">
        <f>27900-25900</f>
        <v>2000</v>
      </c>
      <c r="F32" s="141">
        <v>6224.3270670000002</v>
      </c>
      <c r="G32" s="136">
        <v>1305.173528</v>
      </c>
      <c r="H32" s="141">
        <v>7306.4439380000003</v>
      </c>
      <c r="I32" s="136">
        <v>2000</v>
      </c>
      <c r="J32" s="81"/>
    </row>
    <row r="33" spans="1:10" ht="47.25" x14ac:dyDescent="0.25">
      <c r="A33" s="105">
        <v>4</v>
      </c>
      <c r="B33" s="92" t="s">
        <v>173</v>
      </c>
      <c r="C33" s="138">
        <v>6097.127254</v>
      </c>
      <c r="D33" s="136">
        <f>C33</f>
        <v>6097.127254</v>
      </c>
      <c r="E33" s="143">
        <v>2500</v>
      </c>
      <c r="F33" s="141">
        <v>568.55399999999997</v>
      </c>
      <c r="G33" s="136">
        <v>360.14416999999997</v>
      </c>
      <c r="H33" s="136">
        <v>1767.34419</v>
      </c>
      <c r="I33" s="136">
        <v>387.34419000000003</v>
      </c>
      <c r="J33" s="81"/>
    </row>
    <row r="34" spans="1:10" ht="47.25" x14ac:dyDescent="0.25">
      <c r="A34" s="105">
        <v>5</v>
      </c>
      <c r="B34" s="92" t="s">
        <v>102</v>
      </c>
      <c r="C34" s="138">
        <v>35987.923178999998</v>
      </c>
      <c r="D34" s="136">
        <v>34178.690068999997</v>
      </c>
      <c r="E34" s="137">
        <v>5000</v>
      </c>
      <c r="F34" s="136">
        <v>165.26320699999999</v>
      </c>
      <c r="G34" s="136">
        <v>165.26320699999999</v>
      </c>
      <c r="H34" s="136">
        <v>837.50099999999998</v>
      </c>
      <c r="I34" s="136">
        <v>837.50099999999998</v>
      </c>
      <c r="J34" s="81"/>
    </row>
    <row r="35" spans="1:10" ht="31.5" x14ac:dyDescent="0.25">
      <c r="A35" s="105">
        <v>6</v>
      </c>
      <c r="B35" s="92" t="s">
        <v>168</v>
      </c>
      <c r="C35" s="138"/>
      <c r="D35" s="136"/>
      <c r="E35" s="137">
        <f>1800-1040</f>
        <v>760</v>
      </c>
      <c r="F35" s="136"/>
      <c r="G35" s="136"/>
      <c r="H35" s="136"/>
      <c r="I35" s="136"/>
      <c r="J35" s="81"/>
    </row>
    <row r="36" spans="1:10" ht="63" x14ac:dyDescent="0.25">
      <c r="A36" s="105">
        <v>7</v>
      </c>
      <c r="B36" s="92" t="s">
        <v>167</v>
      </c>
      <c r="C36" s="138"/>
      <c r="D36" s="136"/>
      <c r="E36" s="137">
        <v>5000</v>
      </c>
      <c r="F36" s="136"/>
      <c r="G36" s="136"/>
      <c r="H36" s="136"/>
      <c r="I36" s="136"/>
      <c r="J36" s="81"/>
    </row>
    <row r="37" spans="1:10" ht="31.5" x14ac:dyDescent="0.25">
      <c r="A37" s="95" t="s">
        <v>99</v>
      </c>
      <c r="B37" s="96" t="s">
        <v>169</v>
      </c>
      <c r="C37" s="107"/>
      <c r="D37" s="107"/>
      <c r="E37" s="104"/>
      <c r="F37" s="128"/>
      <c r="G37" s="128"/>
      <c r="H37" s="128"/>
      <c r="I37" s="128"/>
      <c r="J37" s="81"/>
    </row>
    <row r="38" spans="1:10" ht="31.5" x14ac:dyDescent="0.25">
      <c r="A38" s="95" t="s">
        <v>170</v>
      </c>
      <c r="B38" s="96" t="s">
        <v>171</v>
      </c>
      <c r="C38" s="97">
        <f>SUM(C39:C41)</f>
        <v>2199.5396249999999</v>
      </c>
      <c r="D38" s="97">
        <f>SUM(D39:D41)</f>
        <v>2199.5396249999999</v>
      </c>
      <c r="E38" s="97">
        <f t="shared" ref="E38:I38" si="11">SUM(E39:E41)</f>
        <v>8089</v>
      </c>
      <c r="F38" s="97">
        <f t="shared" si="11"/>
        <v>2628.2919999999999</v>
      </c>
      <c r="G38" s="97">
        <f t="shared" si="11"/>
        <v>2628.2919999999999</v>
      </c>
      <c r="H38" s="97">
        <f t="shared" si="11"/>
        <v>3149.5087899999999</v>
      </c>
      <c r="I38" s="97">
        <f t="shared" si="11"/>
        <v>3149.5087899999999</v>
      </c>
      <c r="J38" s="81"/>
    </row>
    <row r="39" spans="1:10" ht="36.75" customHeight="1" x14ac:dyDescent="0.25">
      <c r="A39" s="105">
        <v>1</v>
      </c>
      <c r="B39" s="92" t="s">
        <v>100</v>
      </c>
      <c r="C39" s="138"/>
      <c r="D39" s="136"/>
      <c r="E39" s="137">
        <v>5500</v>
      </c>
      <c r="F39" s="136">
        <v>6.9390000000000001</v>
      </c>
      <c r="G39" s="136">
        <v>6.9390000000000001</v>
      </c>
      <c r="H39" s="136">
        <v>561.16479000000004</v>
      </c>
      <c r="I39" s="136">
        <v>561.16479000000004</v>
      </c>
      <c r="J39" s="81"/>
    </row>
    <row r="40" spans="1:10" ht="36.75" customHeight="1" x14ac:dyDescent="0.25">
      <c r="A40" s="105">
        <v>2</v>
      </c>
      <c r="B40" s="92" t="s">
        <v>73</v>
      </c>
      <c r="C40" s="145"/>
      <c r="D40" s="145"/>
      <c r="E40" s="143">
        <f>1000-500</f>
        <v>500</v>
      </c>
      <c r="F40" s="136">
        <f>793.009-260</f>
        <v>533.00900000000001</v>
      </c>
      <c r="G40" s="136">
        <f>793.009-260</f>
        <v>533.00900000000001</v>
      </c>
      <c r="H40" s="136">
        <v>500</v>
      </c>
      <c r="I40" s="136">
        <v>500</v>
      </c>
      <c r="J40" s="81"/>
    </row>
    <row r="41" spans="1:10" ht="31.5" customHeight="1" x14ac:dyDescent="0.25">
      <c r="A41" s="105">
        <v>3</v>
      </c>
      <c r="B41" s="92" t="s">
        <v>155</v>
      </c>
      <c r="C41" s="138">
        <v>2199.5396249999999</v>
      </c>
      <c r="D41" s="136">
        <f>C41</f>
        <v>2199.5396249999999</v>
      </c>
      <c r="E41" s="143">
        <f>2000+155-66</f>
        <v>2089</v>
      </c>
      <c r="F41" s="136">
        <v>2088.3440000000001</v>
      </c>
      <c r="G41" s="136">
        <v>2088.3440000000001</v>
      </c>
      <c r="H41" s="136">
        <v>2088.3440000000001</v>
      </c>
      <c r="I41" s="136">
        <v>2088.3440000000001</v>
      </c>
      <c r="J41" s="81"/>
    </row>
    <row r="42" spans="1:10" ht="28.5" customHeight="1" x14ac:dyDescent="0.25">
      <c r="A42" s="108" t="s">
        <v>61</v>
      </c>
      <c r="B42" s="91" t="s">
        <v>52</v>
      </c>
      <c r="C42" s="88">
        <f>C43+C44+C47+C48</f>
        <v>24690.117978000002</v>
      </c>
      <c r="D42" s="88">
        <f>D43+D44+D47+D48</f>
        <v>24690.117978000002</v>
      </c>
      <c r="E42" s="88">
        <f t="shared" ref="E42:I42" si="12">E43+E44+E47+E48</f>
        <v>10438</v>
      </c>
      <c r="F42" s="88">
        <f t="shared" si="12"/>
        <v>10814.999429</v>
      </c>
      <c r="G42" s="88">
        <f t="shared" si="12"/>
        <v>9809.0064289999991</v>
      </c>
      <c r="H42" s="88">
        <f t="shared" si="12"/>
        <v>14585.696602</v>
      </c>
      <c r="I42" s="88">
        <f t="shared" si="12"/>
        <v>7585.696602</v>
      </c>
      <c r="J42" s="81"/>
    </row>
    <row r="43" spans="1:10" ht="47.25" x14ac:dyDescent="0.25">
      <c r="A43" s="95" t="s">
        <v>97</v>
      </c>
      <c r="B43" s="96" t="s">
        <v>164</v>
      </c>
      <c r="C43" s="107"/>
      <c r="D43" s="107"/>
      <c r="E43" s="104"/>
      <c r="F43" s="129"/>
      <c r="G43" s="129"/>
      <c r="H43" s="129"/>
      <c r="I43" s="129"/>
      <c r="J43" s="81"/>
    </row>
    <row r="44" spans="1:10" ht="41.25" customHeight="1" x14ac:dyDescent="0.25">
      <c r="A44" s="95" t="s">
        <v>98</v>
      </c>
      <c r="B44" s="96" t="s">
        <v>166</v>
      </c>
      <c r="C44" s="97">
        <f t="shared" ref="C44:I44" si="13">SUM(C45:C46)</f>
        <v>24690.117978000002</v>
      </c>
      <c r="D44" s="97">
        <f t="shared" si="13"/>
        <v>24690.117978000002</v>
      </c>
      <c r="E44" s="97">
        <f t="shared" si="13"/>
        <v>10438</v>
      </c>
      <c r="F44" s="97">
        <f t="shared" si="13"/>
        <v>10814.999429</v>
      </c>
      <c r="G44" s="97">
        <f t="shared" si="13"/>
        <v>9809.0064289999991</v>
      </c>
      <c r="H44" s="97">
        <f t="shared" si="13"/>
        <v>14585.696602</v>
      </c>
      <c r="I44" s="97">
        <f t="shared" si="13"/>
        <v>7585.696602</v>
      </c>
      <c r="J44" s="81"/>
    </row>
    <row r="45" spans="1:10" ht="39.75" customHeight="1" x14ac:dyDescent="0.25">
      <c r="A45" s="98" t="s">
        <v>45</v>
      </c>
      <c r="B45" s="92" t="s">
        <v>103</v>
      </c>
      <c r="C45" s="138">
        <v>9699.4962429999996</v>
      </c>
      <c r="D45" s="136">
        <f>C45</f>
        <v>9699.4962429999996</v>
      </c>
      <c r="E45" s="143">
        <f>3500+2945-7</f>
        <v>6438</v>
      </c>
      <c r="F45" s="141">
        <f>9562.803</f>
        <v>9562.8029999999999</v>
      </c>
      <c r="G45" s="141">
        <v>9060.1659999999993</v>
      </c>
      <c r="H45" s="141">
        <f>9562.803</f>
        <v>9562.8029999999999</v>
      </c>
      <c r="I45" s="136">
        <v>6437.8029999999999</v>
      </c>
      <c r="J45" s="81"/>
    </row>
    <row r="46" spans="1:10" ht="40.5" customHeight="1" x14ac:dyDescent="0.25">
      <c r="A46" s="109" t="s">
        <v>61</v>
      </c>
      <c r="B46" s="92" t="s">
        <v>104</v>
      </c>
      <c r="C46" s="138">
        <v>14990.621735000001</v>
      </c>
      <c r="D46" s="136">
        <f>C46</f>
        <v>14990.621735000001</v>
      </c>
      <c r="E46" s="143">
        <v>4000</v>
      </c>
      <c r="F46" s="141">
        <v>1252.1964290000001</v>
      </c>
      <c r="G46" s="136">
        <v>748.84042899999997</v>
      </c>
      <c r="H46" s="141">
        <v>5022.8936020000001</v>
      </c>
      <c r="I46" s="136">
        <v>1147.8936020000001</v>
      </c>
      <c r="J46" s="81"/>
    </row>
    <row r="47" spans="1:10" ht="31.5" x14ac:dyDescent="0.25">
      <c r="A47" s="95" t="s">
        <v>99</v>
      </c>
      <c r="B47" s="96" t="s">
        <v>169</v>
      </c>
      <c r="C47" s="101"/>
      <c r="D47" s="101"/>
      <c r="E47" s="104"/>
      <c r="F47" s="130"/>
      <c r="G47" s="130"/>
      <c r="H47" s="130"/>
      <c r="I47" s="130"/>
      <c r="J47" s="81"/>
    </row>
    <row r="48" spans="1:10" ht="42.75" customHeight="1" x14ac:dyDescent="0.25">
      <c r="A48" s="95" t="s">
        <v>170</v>
      </c>
      <c r="B48" s="96" t="s">
        <v>171</v>
      </c>
      <c r="C48" s="107"/>
      <c r="D48" s="107"/>
      <c r="E48" s="104"/>
      <c r="F48" s="129"/>
      <c r="G48" s="129"/>
      <c r="H48" s="129"/>
      <c r="I48" s="129"/>
      <c r="J48" s="81"/>
    </row>
    <row r="49" spans="1:10" ht="30.75" customHeight="1" x14ac:dyDescent="0.25">
      <c r="A49" s="108" t="s">
        <v>63</v>
      </c>
      <c r="B49" s="91" t="s">
        <v>57</v>
      </c>
      <c r="C49" s="88">
        <f t="shared" ref="C49:I49" si="14">C50+C51+C52+C53</f>
        <v>61230.254336999998</v>
      </c>
      <c r="D49" s="88">
        <f t="shared" si="14"/>
        <v>61230.254336999998</v>
      </c>
      <c r="E49" s="88">
        <f t="shared" si="14"/>
        <v>5200</v>
      </c>
      <c r="F49" s="88">
        <f t="shared" si="14"/>
        <v>5216.5110000000004</v>
      </c>
      <c r="G49" s="88">
        <f t="shared" si="14"/>
        <v>5216.5110000000004</v>
      </c>
      <c r="H49" s="88">
        <f t="shared" si="14"/>
        <v>5184.6400000000003</v>
      </c>
      <c r="I49" s="88">
        <f t="shared" si="14"/>
        <v>5034.6400000000003</v>
      </c>
      <c r="J49" s="81"/>
    </row>
    <row r="50" spans="1:10" ht="51.75" customHeight="1" x14ac:dyDescent="0.25">
      <c r="A50" s="95" t="s">
        <v>97</v>
      </c>
      <c r="B50" s="96" t="s">
        <v>164</v>
      </c>
      <c r="C50" s="107"/>
      <c r="D50" s="107"/>
      <c r="E50" s="104"/>
      <c r="F50" s="29"/>
      <c r="G50" s="29"/>
      <c r="H50" s="29"/>
      <c r="I50" s="29"/>
      <c r="J50" s="81"/>
    </row>
    <row r="51" spans="1:10" ht="31.5" x14ac:dyDescent="0.25">
      <c r="A51" s="95" t="s">
        <v>98</v>
      </c>
      <c r="B51" s="96" t="s">
        <v>166</v>
      </c>
      <c r="C51" s="102"/>
      <c r="D51" s="102"/>
      <c r="E51" s="104"/>
      <c r="F51" s="29"/>
      <c r="G51" s="29"/>
      <c r="H51" s="29"/>
      <c r="I51" s="29"/>
      <c r="J51" s="81"/>
    </row>
    <row r="52" spans="1:10" ht="31.5" x14ac:dyDescent="0.25">
      <c r="A52" s="95" t="s">
        <v>99</v>
      </c>
      <c r="B52" s="96" t="s">
        <v>169</v>
      </c>
      <c r="C52" s="101"/>
      <c r="D52" s="101"/>
      <c r="E52" s="104"/>
      <c r="F52" s="29"/>
      <c r="G52" s="29"/>
      <c r="H52" s="29"/>
      <c r="I52" s="29"/>
      <c r="J52" s="81"/>
    </row>
    <row r="53" spans="1:10" ht="41.25" customHeight="1" x14ac:dyDescent="0.25">
      <c r="A53" s="95" t="s">
        <v>170</v>
      </c>
      <c r="B53" s="96" t="s">
        <v>171</v>
      </c>
      <c r="C53" s="97">
        <f t="shared" ref="C53:I53" si="15">SUM(C54:C56)</f>
        <v>61230.254336999998</v>
      </c>
      <c r="D53" s="97">
        <f t="shared" si="15"/>
        <v>61230.254336999998</v>
      </c>
      <c r="E53" s="97">
        <f t="shared" si="15"/>
        <v>5200</v>
      </c>
      <c r="F53" s="97">
        <f t="shared" si="15"/>
        <v>5216.5110000000004</v>
      </c>
      <c r="G53" s="97">
        <f t="shared" si="15"/>
        <v>5216.5110000000004</v>
      </c>
      <c r="H53" s="97">
        <f t="shared" si="15"/>
        <v>5184.6400000000003</v>
      </c>
      <c r="I53" s="97">
        <f t="shared" si="15"/>
        <v>5034.6400000000003</v>
      </c>
      <c r="J53" s="81"/>
    </row>
    <row r="54" spans="1:10" ht="31.5" customHeight="1" x14ac:dyDescent="0.25">
      <c r="A54" s="98" t="s">
        <v>45</v>
      </c>
      <c r="B54" s="92" t="s">
        <v>174</v>
      </c>
      <c r="C54" s="93"/>
      <c r="D54" s="93"/>
      <c r="E54" s="106">
        <v>0</v>
      </c>
      <c r="F54" s="129"/>
      <c r="G54" s="129"/>
      <c r="H54" s="129"/>
      <c r="I54" s="129"/>
      <c r="J54" s="81"/>
    </row>
    <row r="55" spans="1:10" ht="45" customHeight="1" x14ac:dyDescent="0.25">
      <c r="A55" s="98" t="s">
        <v>61</v>
      </c>
      <c r="B55" s="92" t="s">
        <v>106</v>
      </c>
      <c r="C55" s="137">
        <v>4934.9361200000003</v>
      </c>
      <c r="D55" s="136">
        <f>C55</f>
        <v>4934.9361200000003</v>
      </c>
      <c r="E55" s="143">
        <f>10000-5100-100</f>
        <v>4800</v>
      </c>
      <c r="F55" s="136">
        <v>4724.6400000000003</v>
      </c>
      <c r="G55" s="136">
        <v>4724.6400000000003</v>
      </c>
      <c r="H55" s="136">
        <v>4724.6400000000003</v>
      </c>
      <c r="I55" s="136">
        <v>4634.6400000000003</v>
      </c>
      <c r="J55" s="81"/>
    </row>
    <row r="56" spans="1:10" ht="42" customHeight="1" x14ac:dyDescent="0.25">
      <c r="A56" s="98" t="s">
        <v>63</v>
      </c>
      <c r="B56" s="92" t="s">
        <v>74</v>
      </c>
      <c r="C56" s="136">
        <v>56295.318217</v>
      </c>
      <c r="D56" s="136">
        <f>C56</f>
        <v>56295.318217</v>
      </c>
      <c r="E56" s="143">
        <f>17700-17300</f>
        <v>400</v>
      </c>
      <c r="F56" s="136">
        <v>491.87099999999998</v>
      </c>
      <c r="G56" s="136">
        <v>491.87099999999998</v>
      </c>
      <c r="H56" s="136">
        <v>460</v>
      </c>
      <c r="I56" s="136">
        <v>400</v>
      </c>
      <c r="J56" s="142" t="s">
        <v>341</v>
      </c>
    </row>
    <row r="57" spans="1:10" ht="28.5" customHeight="1" x14ac:dyDescent="0.25">
      <c r="A57" s="108" t="s">
        <v>175</v>
      </c>
      <c r="B57" s="91" t="s">
        <v>53</v>
      </c>
      <c r="C57" s="88">
        <f t="shared" ref="C57:I57" si="16">C58+C59+C61+C62</f>
        <v>14497.312388</v>
      </c>
      <c r="D57" s="88">
        <f t="shared" si="16"/>
        <v>14497.312388</v>
      </c>
      <c r="E57" s="88">
        <f t="shared" si="16"/>
        <v>4400</v>
      </c>
      <c r="F57" s="88">
        <f t="shared" si="16"/>
        <v>10574.504441000001</v>
      </c>
      <c r="G57" s="88">
        <f t="shared" si="16"/>
        <v>295.39699999999999</v>
      </c>
      <c r="H57" s="88">
        <f t="shared" si="16"/>
        <v>11719.088933999999</v>
      </c>
      <c r="I57" s="88">
        <f t="shared" si="16"/>
        <v>1719.0889340000001</v>
      </c>
      <c r="J57" s="81"/>
    </row>
    <row r="58" spans="1:10" ht="47.25" x14ac:dyDescent="0.25">
      <c r="A58" s="95" t="s">
        <v>97</v>
      </c>
      <c r="B58" s="96" t="s">
        <v>164</v>
      </c>
      <c r="C58" s="107"/>
      <c r="D58" s="107"/>
      <c r="E58" s="104"/>
      <c r="F58" s="130"/>
      <c r="G58" s="130"/>
      <c r="H58" s="130"/>
      <c r="I58" s="130"/>
      <c r="J58" s="81"/>
    </row>
    <row r="59" spans="1:10" ht="42.75" customHeight="1" x14ac:dyDescent="0.25">
      <c r="A59" s="95" t="s">
        <v>98</v>
      </c>
      <c r="B59" s="96" t="s">
        <v>166</v>
      </c>
      <c r="C59" s="97">
        <f t="shared" ref="C59:I59" si="17">C60</f>
        <v>14497.312388</v>
      </c>
      <c r="D59" s="97">
        <f t="shared" si="17"/>
        <v>14497.312388</v>
      </c>
      <c r="E59" s="97">
        <f t="shared" si="17"/>
        <v>4400</v>
      </c>
      <c r="F59" s="97">
        <f t="shared" si="17"/>
        <v>10574.504441000001</v>
      </c>
      <c r="G59" s="97">
        <f t="shared" si="17"/>
        <v>295.39699999999999</v>
      </c>
      <c r="H59" s="97">
        <f t="shared" si="17"/>
        <v>11719.088933999999</v>
      </c>
      <c r="I59" s="97">
        <f t="shared" si="17"/>
        <v>1719.0889340000001</v>
      </c>
      <c r="J59" s="81"/>
    </row>
    <row r="60" spans="1:10" ht="42" customHeight="1" x14ac:dyDescent="0.25">
      <c r="A60" s="98" t="s">
        <v>45</v>
      </c>
      <c r="B60" s="92" t="s">
        <v>38</v>
      </c>
      <c r="C60" s="138">
        <v>14497.312388</v>
      </c>
      <c r="D60" s="136">
        <f>C60</f>
        <v>14497.312388</v>
      </c>
      <c r="E60" s="137">
        <v>4400</v>
      </c>
      <c r="F60" s="137">
        <v>10574.504441000001</v>
      </c>
      <c r="G60" s="136">
        <v>295.39699999999999</v>
      </c>
      <c r="H60" s="137">
        <v>11719.088933999999</v>
      </c>
      <c r="I60" s="136">
        <v>1719.0889340000001</v>
      </c>
      <c r="J60" s="81"/>
    </row>
    <row r="61" spans="1:10" ht="44.25" customHeight="1" x14ac:dyDescent="0.25">
      <c r="A61" s="95" t="s">
        <v>99</v>
      </c>
      <c r="B61" s="96" t="s">
        <v>169</v>
      </c>
      <c r="C61" s="107"/>
      <c r="D61" s="107"/>
      <c r="E61" s="104"/>
      <c r="F61" s="130"/>
      <c r="G61" s="130"/>
      <c r="H61" s="130"/>
      <c r="I61" s="130"/>
      <c r="J61" s="81"/>
    </row>
    <row r="62" spans="1:10" ht="31.5" x14ac:dyDescent="0.25">
      <c r="A62" s="95" t="s">
        <v>170</v>
      </c>
      <c r="B62" s="96" t="s">
        <v>171</v>
      </c>
      <c r="C62" s="102"/>
      <c r="D62" s="102"/>
      <c r="E62" s="104"/>
      <c r="F62" s="129"/>
      <c r="G62" s="129"/>
      <c r="H62" s="129"/>
      <c r="I62" s="129"/>
      <c r="J62" s="81"/>
    </row>
    <row r="63" spans="1:10" ht="30" customHeight="1" x14ac:dyDescent="0.25">
      <c r="A63" s="87">
        <v>5</v>
      </c>
      <c r="B63" s="91" t="s">
        <v>54</v>
      </c>
      <c r="C63" s="88">
        <f t="shared" ref="C63:I63" si="18">C64</f>
        <v>216738.22719800001</v>
      </c>
      <c r="D63" s="88">
        <f t="shared" si="18"/>
        <v>213302.39726200001</v>
      </c>
      <c r="E63" s="88">
        <f t="shared" si="18"/>
        <v>67679.013907999994</v>
      </c>
      <c r="F63" s="88">
        <f t="shared" si="18"/>
        <v>23403.97552</v>
      </c>
      <c r="G63" s="88">
        <f t="shared" si="18"/>
        <v>23473.327502</v>
      </c>
      <c r="H63" s="88">
        <f t="shared" si="18"/>
        <v>48396.238935000001</v>
      </c>
      <c r="I63" s="88">
        <f t="shared" si="18"/>
        <v>41721.167843000003</v>
      </c>
      <c r="J63" s="81"/>
    </row>
    <row r="64" spans="1:10" ht="33.75" customHeight="1" x14ac:dyDescent="0.25">
      <c r="A64" s="87" t="s">
        <v>176</v>
      </c>
      <c r="B64" s="91" t="s">
        <v>55</v>
      </c>
      <c r="C64" s="88">
        <f>C65+C67+C70+C71</f>
        <v>216738.22719800001</v>
      </c>
      <c r="D64" s="88">
        <f>D65+D67+D70+D71</f>
        <v>213302.39726200001</v>
      </c>
      <c r="E64" s="88">
        <f t="shared" ref="E64:I64" si="19">E65+E67+E70+E71</f>
        <v>67679.013907999994</v>
      </c>
      <c r="F64" s="88">
        <f t="shared" si="19"/>
        <v>23403.97552</v>
      </c>
      <c r="G64" s="88">
        <f t="shared" si="19"/>
        <v>23473.327502</v>
      </c>
      <c r="H64" s="88">
        <f t="shared" si="19"/>
        <v>48396.238935000001</v>
      </c>
      <c r="I64" s="88">
        <f t="shared" si="19"/>
        <v>41721.167843000003</v>
      </c>
      <c r="J64" s="81"/>
    </row>
    <row r="65" spans="1:10" ht="47.25" x14ac:dyDescent="0.25">
      <c r="A65" s="95" t="s">
        <v>97</v>
      </c>
      <c r="B65" s="96" t="s">
        <v>164</v>
      </c>
      <c r="C65" s="97">
        <f t="shared" ref="C65:I65" si="20">C66</f>
        <v>433.25395700000001</v>
      </c>
      <c r="D65" s="97">
        <f t="shared" si="20"/>
        <v>432.40495800000002</v>
      </c>
      <c r="E65" s="97">
        <f t="shared" si="20"/>
        <v>2</v>
      </c>
      <c r="F65" s="97">
        <f t="shared" si="20"/>
        <v>296.714</v>
      </c>
      <c r="G65" s="97">
        <f t="shared" si="20"/>
        <v>1.69</v>
      </c>
      <c r="H65" s="97">
        <f t="shared" si="20"/>
        <v>296.714</v>
      </c>
      <c r="I65" s="97">
        <f t="shared" si="20"/>
        <v>1.69</v>
      </c>
      <c r="J65" s="81"/>
    </row>
    <row r="66" spans="1:10" ht="48.75" customHeight="1" x14ac:dyDescent="0.25">
      <c r="A66" s="98" t="s">
        <v>177</v>
      </c>
      <c r="B66" s="92" t="s">
        <v>178</v>
      </c>
      <c r="C66" s="136">
        <v>433.25395700000001</v>
      </c>
      <c r="D66" s="136">
        <v>432.40495800000002</v>
      </c>
      <c r="E66" s="143">
        <f>80-78</f>
        <v>2</v>
      </c>
      <c r="F66" s="141">
        <v>296.714</v>
      </c>
      <c r="G66" s="141">
        <v>1.69</v>
      </c>
      <c r="H66" s="141">
        <v>296.714</v>
      </c>
      <c r="I66" s="136">
        <v>1.69</v>
      </c>
      <c r="J66" s="142" t="s">
        <v>342</v>
      </c>
    </row>
    <row r="67" spans="1:10" ht="36.75" customHeight="1" x14ac:dyDescent="0.25">
      <c r="A67" s="95" t="s">
        <v>98</v>
      </c>
      <c r="B67" s="96" t="s">
        <v>166</v>
      </c>
      <c r="C67" s="97">
        <f t="shared" ref="C67:I67" si="21">SUM(C68:C69)</f>
        <v>36647.670559999999</v>
      </c>
      <c r="D67" s="97">
        <f t="shared" si="21"/>
        <v>36302.927319000002</v>
      </c>
      <c r="E67" s="97">
        <f t="shared" si="21"/>
        <v>13666.013908000001</v>
      </c>
      <c r="F67" s="97">
        <f t="shared" si="21"/>
        <v>8057.4993989999994</v>
      </c>
      <c r="G67" s="97">
        <f t="shared" si="21"/>
        <v>8640.9827220000006</v>
      </c>
      <c r="H67" s="97">
        <f t="shared" si="21"/>
        <v>17837.355065</v>
      </c>
      <c r="I67" s="97">
        <f t="shared" si="21"/>
        <v>12755.259973</v>
      </c>
      <c r="J67" s="81"/>
    </row>
    <row r="68" spans="1:10" ht="47.25" x14ac:dyDescent="0.25">
      <c r="A68" s="98" t="s">
        <v>45</v>
      </c>
      <c r="B68" s="92" t="s">
        <v>28</v>
      </c>
      <c r="C68" s="138">
        <v>25149.361173000001</v>
      </c>
      <c r="D68" s="136">
        <v>24804.617932000001</v>
      </c>
      <c r="E68" s="143">
        <f>8000+66.013908</f>
        <v>8066.0139079999999</v>
      </c>
      <c r="F68" s="141">
        <v>524.51951699999995</v>
      </c>
      <c r="G68" s="141">
        <v>3092.0507299999999</v>
      </c>
      <c r="H68" s="141">
        <v>10049.246064999999</v>
      </c>
      <c r="I68" s="136">
        <v>7155.2599730000002</v>
      </c>
      <c r="J68" s="142" t="s">
        <v>341</v>
      </c>
    </row>
    <row r="69" spans="1:10" ht="52.5" customHeight="1" x14ac:dyDescent="0.25">
      <c r="A69" s="98" t="s">
        <v>61</v>
      </c>
      <c r="B69" s="92" t="s">
        <v>179</v>
      </c>
      <c r="C69" s="138">
        <v>11498.309386999999</v>
      </c>
      <c r="D69" s="136">
        <f>C69</f>
        <v>11498.309386999999</v>
      </c>
      <c r="E69" s="143">
        <f>5000+600</f>
        <v>5600</v>
      </c>
      <c r="F69" s="136">
        <v>7532.9798819999996</v>
      </c>
      <c r="G69" s="136">
        <v>5548.9319919999998</v>
      </c>
      <c r="H69" s="136">
        <v>7788.1090000000004</v>
      </c>
      <c r="I69" s="136">
        <v>5600</v>
      </c>
      <c r="J69" s="142" t="s">
        <v>343</v>
      </c>
    </row>
    <row r="70" spans="1:10" ht="31.5" x14ac:dyDescent="0.25">
      <c r="A70" s="95" t="s">
        <v>99</v>
      </c>
      <c r="B70" s="96" t="s">
        <v>169</v>
      </c>
      <c r="C70" s="107"/>
      <c r="D70" s="107"/>
      <c r="E70" s="104"/>
      <c r="F70" s="29"/>
      <c r="G70" s="29"/>
      <c r="H70" s="29"/>
      <c r="I70" s="29"/>
      <c r="J70" s="81"/>
    </row>
    <row r="71" spans="1:10" ht="31.5" x14ac:dyDescent="0.25">
      <c r="A71" s="95" t="s">
        <v>170</v>
      </c>
      <c r="B71" s="96" t="s">
        <v>171</v>
      </c>
      <c r="C71" s="97">
        <f t="shared" ref="C71:I71" si="22">SUM(C72:C79)</f>
        <v>179657.302681</v>
      </c>
      <c r="D71" s="97">
        <f t="shared" si="22"/>
        <v>176567.064985</v>
      </c>
      <c r="E71" s="97">
        <f t="shared" si="22"/>
        <v>54011</v>
      </c>
      <c r="F71" s="97">
        <f t="shared" si="22"/>
        <v>15049.762121000002</v>
      </c>
      <c r="G71" s="97">
        <f t="shared" si="22"/>
        <v>14830.654780000001</v>
      </c>
      <c r="H71" s="97">
        <f t="shared" si="22"/>
        <v>30262.169869999998</v>
      </c>
      <c r="I71" s="97">
        <f t="shared" si="22"/>
        <v>28964.21787</v>
      </c>
      <c r="J71" s="81"/>
    </row>
    <row r="72" spans="1:10" ht="41.25" customHeight="1" x14ac:dyDescent="0.25">
      <c r="A72" s="98" t="s">
        <v>45</v>
      </c>
      <c r="B72" s="92" t="s">
        <v>27</v>
      </c>
      <c r="C72" s="138">
        <v>22808.330109999999</v>
      </c>
      <c r="D72" s="138">
        <v>22803.443483999999</v>
      </c>
      <c r="E72" s="143">
        <v>10000</v>
      </c>
      <c r="F72" s="136">
        <v>494.40699999999998</v>
      </c>
      <c r="G72" s="136">
        <v>343.61399999999998</v>
      </c>
      <c r="H72" s="136">
        <f>60+6270.65272</f>
        <v>6330.65272</v>
      </c>
      <c r="I72" s="136">
        <v>6191.0177199999998</v>
      </c>
      <c r="J72" s="142" t="s">
        <v>341</v>
      </c>
    </row>
    <row r="73" spans="1:10" ht="33.75" x14ac:dyDescent="0.25">
      <c r="A73" s="98" t="s">
        <v>61</v>
      </c>
      <c r="B73" s="92" t="s">
        <v>180</v>
      </c>
      <c r="C73" s="135">
        <v>44283.462405999999</v>
      </c>
      <c r="D73" s="135">
        <v>41759.306790000002</v>
      </c>
      <c r="E73" s="143">
        <v>10000</v>
      </c>
      <c r="F73" s="136">
        <v>700.85599999999999</v>
      </c>
      <c r="G73" s="136">
        <v>700.85599999999999</v>
      </c>
      <c r="H73" s="136">
        <f>60+640.856</f>
        <v>700.85599999999999</v>
      </c>
      <c r="I73" s="136">
        <v>640.85599999999999</v>
      </c>
      <c r="J73" s="142" t="s">
        <v>341</v>
      </c>
    </row>
    <row r="74" spans="1:10" ht="41.25" customHeight="1" x14ac:dyDescent="0.25">
      <c r="A74" s="98" t="s">
        <v>63</v>
      </c>
      <c r="B74" s="92" t="s">
        <v>181</v>
      </c>
      <c r="C74" s="138">
        <v>989.94780500000002</v>
      </c>
      <c r="D74" s="138">
        <v>809.31024600000001</v>
      </c>
      <c r="E74" s="143">
        <f>550+181</f>
        <v>731</v>
      </c>
      <c r="F74" s="136">
        <v>710.82554100000004</v>
      </c>
      <c r="G74" s="136">
        <v>678.49450000000002</v>
      </c>
      <c r="H74" s="136">
        <v>710.82550000000003</v>
      </c>
      <c r="I74" s="136">
        <v>678.49450000000002</v>
      </c>
      <c r="J74" s="142" t="s">
        <v>344</v>
      </c>
    </row>
    <row r="75" spans="1:10" ht="59.25" customHeight="1" x14ac:dyDescent="0.25">
      <c r="A75" s="98" t="s">
        <v>175</v>
      </c>
      <c r="B75" s="92" t="s">
        <v>182</v>
      </c>
      <c r="C75" s="138">
        <v>1400.7743680000001</v>
      </c>
      <c r="D75" s="138">
        <v>1020.216473</v>
      </c>
      <c r="E75" s="143">
        <f>1300-390</f>
        <v>910</v>
      </c>
      <c r="F75" s="136">
        <v>900.27850000000001</v>
      </c>
      <c r="G75" s="136">
        <v>864.29520000000002</v>
      </c>
      <c r="H75" s="136">
        <v>900.27850000000001</v>
      </c>
      <c r="I75" s="136">
        <v>864.29250000000002</v>
      </c>
      <c r="J75" s="142" t="s">
        <v>345</v>
      </c>
    </row>
    <row r="76" spans="1:10" ht="69.75" customHeight="1" x14ac:dyDescent="0.25">
      <c r="A76" s="98" t="s">
        <v>183</v>
      </c>
      <c r="B76" s="92" t="s">
        <v>184</v>
      </c>
      <c r="C76" s="135">
        <v>30967.918948999999</v>
      </c>
      <c r="D76" s="136">
        <f>C76</f>
        <v>30967.918948999999</v>
      </c>
      <c r="E76" s="143">
        <f>10000-10000</f>
        <v>0</v>
      </c>
      <c r="F76" s="136">
        <v>905.41899999999998</v>
      </c>
      <c r="G76" s="136">
        <v>905.41899999999998</v>
      </c>
      <c r="H76" s="136">
        <v>900</v>
      </c>
      <c r="I76" s="136"/>
      <c r="J76" s="146"/>
    </row>
    <row r="77" spans="1:10" ht="55.5" customHeight="1" x14ac:dyDescent="0.25">
      <c r="A77" s="98" t="s">
        <v>79</v>
      </c>
      <c r="B77" s="92" t="s">
        <v>185</v>
      </c>
      <c r="C77" s="135">
        <v>42216.749964000002</v>
      </c>
      <c r="D77" s="136">
        <f>C77</f>
        <v>42216.749964000002</v>
      </c>
      <c r="E77" s="143">
        <f>11170-6800</f>
        <v>4370</v>
      </c>
      <c r="F77" s="136">
        <v>347.30700000000002</v>
      </c>
      <c r="G77" s="136">
        <v>347.30700000000002</v>
      </c>
      <c r="H77" s="136">
        <v>2374.4491499999999</v>
      </c>
      <c r="I77" s="136">
        <v>2314.4491499999999</v>
      </c>
      <c r="J77" s="146"/>
    </row>
    <row r="78" spans="1:10" ht="72" customHeight="1" x14ac:dyDescent="0.25">
      <c r="A78" s="98" t="s">
        <v>186</v>
      </c>
      <c r="B78" s="92" t="s">
        <v>187</v>
      </c>
      <c r="C78" s="135">
        <v>36990.119078999996</v>
      </c>
      <c r="D78" s="136">
        <f>C78</f>
        <v>36990.119078999996</v>
      </c>
      <c r="E78" s="143">
        <v>10000</v>
      </c>
      <c r="F78" s="136">
        <v>345.108</v>
      </c>
      <c r="G78" s="136">
        <v>345.108</v>
      </c>
      <c r="H78" s="136">
        <v>345.108</v>
      </c>
      <c r="I78" s="136">
        <v>275.108</v>
      </c>
      <c r="J78" s="146"/>
    </row>
    <row r="79" spans="1:10" ht="41.25" customHeight="1" x14ac:dyDescent="0.25">
      <c r="A79" s="98" t="s">
        <v>177</v>
      </c>
      <c r="B79" s="92" t="s">
        <v>96</v>
      </c>
      <c r="C79" s="145"/>
      <c r="D79" s="145"/>
      <c r="E79" s="143">
        <f>13000+5000</f>
        <v>18000</v>
      </c>
      <c r="F79" s="136">
        <v>10645.561080000001</v>
      </c>
      <c r="G79" s="136">
        <v>10645.561079999999</v>
      </c>
      <c r="H79" s="136">
        <v>18000</v>
      </c>
      <c r="I79" s="136">
        <v>18000</v>
      </c>
      <c r="J79" s="81"/>
    </row>
    <row r="80" spans="1:10" ht="30" customHeight="1" x14ac:dyDescent="0.25">
      <c r="A80" s="110" t="s">
        <v>79</v>
      </c>
      <c r="B80" s="91" t="s">
        <v>75</v>
      </c>
      <c r="C80" s="88">
        <f t="shared" ref="C80:I80" si="23">C81</f>
        <v>0</v>
      </c>
      <c r="D80" s="88">
        <f t="shared" si="23"/>
        <v>0</v>
      </c>
      <c r="E80" s="88">
        <f t="shared" si="23"/>
        <v>1000</v>
      </c>
      <c r="F80" s="88">
        <f t="shared" si="23"/>
        <v>0</v>
      </c>
      <c r="G80" s="88">
        <f t="shared" si="23"/>
        <v>0</v>
      </c>
      <c r="H80" s="88">
        <f t="shared" si="23"/>
        <v>0</v>
      </c>
      <c r="I80" s="88">
        <f t="shared" si="23"/>
        <v>0</v>
      </c>
      <c r="J80" s="81"/>
    </row>
    <row r="81" spans="1:10" ht="47.25" x14ac:dyDescent="0.25">
      <c r="A81" s="98" t="s">
        <v>45</v>
      </c>
      <c r="B81" s="111" t="s">
        <v>188</v>
      </c>
      <c r="C81" s="93"/>
      <c r="D81" s="93"/>
      <c r="E81" s="93">
        <v>1000</v>
      </c>
      <c r="F81" s="130"/>
      <c r="G81" s="130"/>
      <c r="H81" s="130"/>
      <c r="I81" s="130"/>
      <c r="J81" s="23"/>
    </row>
    <row r="82" spans="1:10" ht="27.75" customHeight="1" x14ac:dyDescent="0.25">
      <c r="A82" s="110">
        <v>7</v>
      </c>
      <c r="B82" s="91" t="s">
        <v>131</v>
      </c>
      <c r="C82" s="88">
        <f t="shared" ref="C82:I82" si="24">C83</f>
        <v>0</v>
      </c>
      <c r="D82" s="88">
        <f t="shared" si="24"/>
        <v>0</v>
      </c>
      <c r="E82" s="88">
        <f t="shared" si="24"/>
        <v>10369.894</v>
      </c>
      <c r="F82" s="88">
        <f t="shared" si="24"/>
        <v>0</v>
      </c>
      <c r="G82" s="88">
        <f t="shared" si="24"/>
        <v>10290.826251999999</v>
      </c>
      <c r="H82" s="88">
        <f t="shared" si="24"/>
        <v>0</v>
      </c>
      <c r="I82" s="88">
        <f t="shared" si="24"/>
        <v>10290.826251999999</v>
      </c>
      <c r="J82" s="24"/>
    </row>
    <row r="83" spans="1:10" ht="27" customHeight="1" x14ac:dyDescent="0.25">
      <c r="A83" s="112" t="s">
        <v>107</v>
      </c>
      <c r="B83" s="86" t="s">
        <v>189</v>
      </c>
      <c r="C83" s="107"/>
      <c r="D83" s="107"/>
      <c r="E83" s="93">
        <f>4292.894+6077</f>
        <v>10369.894</v>
      </c>
      <c r="F83" s="29"/>
      <c r="G83" s="29">
        <f>4281.762+6009.064252</f>
        <v>10290.826251999999</v>
      </c>
      <c r="H83" s="29"/>
      <c r="I83" s="29">
        <f>4281.762+6009.064252</f>
        <v>10290.826251999999</v>
      </c>
      <c r="J83" s="81"/>
    </row>
    <row r="84" spans="1:10" ht="22.5" customHeight="1" x14ac:dyDescent="0.25">
      <c r="A84" s="110" t="s">
        <v>13</v>
      </c>
      <c r="B84" s="91" t="s">
        <v>190</v>
      </c>
      <c r="C84" s="88">
        <f>C85+C88+C91+C94+C138</f>
        <v>51859.724239000003</v>
      </c>
      <c r="D84" s="88">
        <f t="shared" ref="D84:E84" si="25">D85+D88+D91+D94+D138</f>
        <v>51855.972431999995</v>
      </c>
      <c r="E84" s="88">
        <f t="shared" si="25"/>
        <v>39281.606999999996</v>
      </c>
      <c r="F84" s="88">
        <f t="shared" ref="F84:I84" si="26">F85+F88+F91+F94+F138</f>
        <v>35785.210770999998</v>
      </c>
      <c r="G84" s="88">
        <f t="shared" si="26"/>
        <v>34397.217771000003</v>
      </c>
      <c r="H84" s="88">
        <f t="shared" si="26"/>
        <v>45737.345278000008</v>
      </c>
      <c r="I84" s="88">
        <f t="shared" si="26"/>
        <v>38699.352278000006</v>
      </c>
      <c r="J84" s="23"/>
    </row>
    <row r="85" spans="1:10" ht="22.5" customHeight="1" x14ac:dyDescent="0.25">
      <c r="A85" s="110" t="s">
        <v>8</v>
      </c>
      <c r="B85" s="91" t="s">
        <v>191</v>
      </c>
      <c r="C85" s="88">
        <f t="shared" ref="C85:I86" si="27">C86</f>
        <v>0</v>
      </c>
      <c r="D85" s="88">
        <f t="shared" si="27"/>
        <v>0</v>
      </c>
      <c r="E85" s="88">
        <f t="shared" si="27"/>
        <v>10000</v>
      </c>
      <c r="F85" s="88">
        <f t="shared" si="27"/>
        <v>5292.9287000000004</v>
      </c>
      <c r="G85" s="88">
        <f t="shared" si="27"/>
        <v>5292.9287000000004</v>
      </c>
      <c r="H85" s="88">
        <f t="shared" si="27"/>
        <v>10000</v>
      </c>
      <c r="I85" s="88">
        <f t="shared" si="27"/>
        <v>10000</v>
      </c>
      <c r="J85" s="24"/>
    </row>
    <row r="86" spans="1:10" ht="42" customHeight="1" x14ac:dyDescent="0.25">
      <c r="A86" s="95" t="s">
        <v>98</v>
      </c>
      <c r="B86" s="96" t="s">
        <v>166</v>
      </c>
      <c r="C86" s="97">
        <f t="shared" si="27"/>
        <v>0</v>
      </c>
      <c r="D86" s="97">
        <f t="shared" si="27"/>
        <v>0</v>
      </c>
      <c r="E86" s="97">
        <f t="shared" si="27"/>
        <v>10000</v>
      </c>
      <c r="F86" s="97">
        <f t="shared" si="27"/>
        <v>5292.9287000000004</v>
      </c>
      <c r="G86" s="97">
        <f t="shared" si="27"/>
        <v>5292.9287000000004</v>
      </c>
      <c r="H86" s="97">
        <f t="shared" si="27"/>
        <v>10000</v>
      </c>
      <c r="I86" s="97">
        <f t="shared" si="27"/>
        <v>10000</v>
      </c>
      <c r="J86" s="81"/>
    </row>
    <row r="87" spans="1:10" ht="47.25" x14ac:dyDescent="0.25">
      <c r="A87" s="98" t="s">
        <v>45</v>
      </c>
      <c r="B87" s="92" t="s">
        <v>102</v>
      </c>
      <c r="C87" s="145"/>
      <c r="D87" s="145"/>
      <c r="E87" s="137">
        <v>10000</v>
      </c>
      <c r="F87" s="147">
        <v>5292.9287000000004</v>
      </c>
      <c r="G87" s="147">
        <v>5292.9287000000004</v>
      </c>
      <c r="H87" s="136">
        <v>10000</v>
      </c>
      <c r="I87" s="136">
        <v>10000</v>
      </c>
      <c r="J87" s="81"/>
    </row>
    <row r="88" spans="1:10" ht="27.75" customHeight="1" x14ac:dyDescent="0.25">
      <c r="A88" s="110" t="s">
        <v>9</v>
      </c>
      <c r="B88" s="91" t="s">
        <v>192</v>
      </c>
      <c r="C88" s="88">
        <f t="shared" ref="C88:I89" si="28">C89</f>
        <v>0</v>
      </c>
      <c r="D88" s="88">
        <f t="shared" si="28"/>
        <v>0</v>
      </c>
      <c r="E88" s="88">
        <f t="shared" si="28"/>
        <v>2962.0069999999996</v>
      </c>
      <c r="F88" s="88">
        <f t="shared" si="28"/>
        <v>4754.9367929999999</v>
      </c>
      <c r="G88" s="88">
        <f t="shared" si="28"/>
        <v>3366.9437930000004</v>
      </c>
      <c r="H88" s="88">
        <f t="shared" si="28"/>
        <v>10000</v>
      </c>
      <c r="I88" s="88">
        <f t="shared" si="28"/>
        <v>2962.0070000000001</v>
      </c>
      <c r="J88" s="23"/>
    </row>
    <row r="89" spans="1:10" ht="38.25" customHeight="1" x14ac:dyDescent="0.25">
      <c r="A89" s="95" t="s">
        <v>98</v>
      </c>
      <c r="B89" s="96" t="s">
        <v>166</v>
      </c>
      <c r="C89" s="97">
        <f t="shared" si="28"/>
        <v>0</v>
      </c>
      <c r="D89" s="97">
        <f t="shared" si="28"/>
        <v>0</v>
      </c>
      <c r="E89" s="97">
        <f t="shared" si="28"/>
        <v>2962.0069999999996</v>
      </c>
      <c r="F89" s="97">
        <f t="shared" si="28"/>
        <v>4754.9367929999999</v>
      </c>
      <c r="G89" s="97">
        <f t="shared" si="28"/>
        <v>3366.9437930000004</v>
      </c>
      <c r="H89" s="97">
        <f t="shared" si="28"/>
        <v>10000</v>
      </c>
      <c r="I89" s="97">
        <f t="shared" si="28"/>
        <v>2962.0070000000001</v>
      </c>
      <c r="J89" s="23"/>
    </row>
    <row r="90" spans="1:10" ht="59.25" customHeight="1" x14ac:dyDescent="0.25">
      <c r="A90" s="113">
        <v>1</v>
      </c>
      <c r="B90" s="92" t="s">
        <v>102</v>
      </c>
      <c r="C90" s="145"/>
      <c r="D90" s="145"/>
      <c r="E90" s="141">
        <v>2962.0069999999996</v>
      </c>
      <c r="F90" s="147">
        <f>1387.993+390+16.089793+2962.007-1.153</f>
        <v>4754.9367929999999</v>
      </c>
      <c r="G90" s="147">
        <f>2962.007-1.153+390+16.089793</f>
        <v>3366.9437930000004</v>
      </c>
      <c r="H90" s="136">
        <v>10000</v>
      </c>
      <c r="I90" s="136">
        <v>2962.0070000000001</v>
      </c>
      <c r="J90" s="23"/>
    </row>
    <row r="91" spans="1:10" x14ac:dyDescent="0.25">
      <c r="A91" s="110" t="s">
        <v>11</v>
      </c>
      <c r="B91" s="91" t="s">
        <v>193</v>
      </c>
      <c r="C91" s="88">
        <f t="shared" ref="C91:I92" si="29">C92</f>
        <v>10999.947448000001</v>
      </c>
      <c r="D91" s="88">
        <f t="shared" si="29"/>
        <v>10996.195641</v>
      </c>
      <c r="E91" s="88">
        <f t="shared" si="29"/>
        <v>10000</v>
      </c>
      <c r="F91" s="88">
        <f t="shared" si="29"/>
        <v>9496.1370000000006</v>
      </c>
      <c r="G91" s="88">
        <f t="shared" si="29"/>
        <v>9496.1370000000006</v>
      </c>
      <c r="H91" s="88">
        <f t="shared" si="29"/>
        <v>9496.1370000000006</v>
      </c>
      <c r="I91" s="88">
        <f t="shared" si="29"/>
        <v>9496.1370000000006</v>
      </c>
      <c r="J91" s="23"/>
    </row>
    <row r="92" spans="1:10" ht="31.5" x14ac:dyDescent="0.25">
      <c r="A92" s="95" t="s">
        <v>170</v>
      </c>
      <c r="B92" s="96" t="s">
        <v>171</v>
      </c>
      <c r="C92" s="97">
        <f t="shared" si="29"/>
        <v>10999.947448000001</v>
      </c>
      <c r="D92" s="97">
        <f t="shared" si="29"/>
        <v>10996.195641</v>
      </c>
      <c r="E92" s="97">
        <f t="shared" si="29"/>
        <v>10000</v>
      </c>
      <c r="F92" s="97">
        <f t="shared" si="29"/>
        <v>9496.1370000000006</v>
      </c>
      <c r="G92" s="97">
        <f t="shared" si="29"/>
        <v>9496.1370000000006</v>
      </c>
      <c r="H92" s="97">
        <f t="shared" si="29"/>
        <v>9496.1370000000006</v>
      </c>
      <c r="I92" s="97">
        <f t="shared" si="29"/>
        <v>9496.1370000000006</v>
      </c>
      <c r="J92" s="81"/>
    </row>
    <row r="93" spans="1:10" ht="65.25" customHeight="1" x14ac:dyDescent="0.25">
      <c r="A93" s="105">
        <v>1</v>
      </c>
      <c r="B93" s="92" t="s">
        <v>194</v>
      </c>
      <c r="C93" s="136">
        <v>10999.947448000001</v>
      </c>
      <c r="D93" s="136">
        <v>10996.195641</v>
      </c>
      <c r="E93" s="137">
        <v>10000</v>
      </c>
      <c r="F93" s="136">
        <v>9496.1370000000006</v>
      </c>
      <c r="G93" s="136">
        <v>9496.1370000000006</v>
      </c>
      <c r="H93" s="136">
        <v>9496.1370000000006</v>
      </c>
      <c r="I93" s="136">
        <v>9496.1370000000006</v>
      </c>
      <c r="J93" s="23"/>
    </row>
    <row r="94" spans="1:10" ht="23.25" customHeight="1" x14ac:dyDescent="0.25">
      <c r="A94" s="110" t="s">
        <v>195</v>
      </c>
      <c r="B94" s="91" t="s">
        <v>196</v>
      </c>
      <c r="C94" s="114">
        <f>C95+C99+C105+C108+C113+C118+C126+C132</f>
        <v>14179.784368999999</v>
      </c>
      <c r="D94" s="114">
        <f t="shared" ref="D94:I94" si="30">D95+D99+D105+D108+D113+D118+D126+D132</f>
        <v>14179.784368999999</v>
      </c>
      <c r="E94" s="114">
        <f t="shared" si="30"/>
        <v>1319.6000000000001</v>
      </c>
      <c r="F94" s="114">
        <f t="shared" si="30"/>
        <v>1314.5060000000001</v>
      </c>
      <c r="G94" s="114">
        <f t="shared" si="30"/>
        <v>1314.5060000000001</v>
      </c>
      <c r="H94" s="114">
        <f t="shared" si="30"/>
        <v>1314.5060000000001</v>
      </c>
      <c r="I94" s="114">
        <f t="shared" si="30"/>
        <v>1314.5060000000001</v>
      </c>
      <c r="J94" s="81"/>
    </row>
    <row r="95" spans="1:10" x14ac:dyDescent="0.25">
      <c r="A95" s="115" t="s">
        <v>45</v>
      </c>
      <c r="B95" s="116" t="s">
        <v>197</v>
      </c>
      <c r="C95" s="114">
        <f>SUM(C96:C98)</f>
        <v>2998.1</v>
      </c>
      <c r="D95" s="114">
        <f t="shared" ref="D95:I95" si="31">SUM(D96:D98)</f>
        <v>2998.1</v>
      </c>
      <c r="E95" s="114">
        <f t="shared" si="31"/>
        <v>184.73100000000002</v>
      </c>
      <c r="F95" s="114">
        <f t="shared" si="31"/>
        <v>184.73100000000002</v>
      </c>
      <c r="G95" s="114">
        <f t="shared" si="31"/>
        <v>184.73100000000002</v>
      </c>
      <c r="H95" s="114">
        <f t="shared" si="31"/>
        <v>184.73100000000002</v>
      </c>
      <c r="I95" s="114">
        <f t="shared" si="31"/>
        <v>184.73100000000002</v>
      </c>
      <c r="J95" s="23"/>
    </row>
    <row r="96" spans="1:10" ht="31.5" x14ac:dyDescent="0.25">
      <c r="A96" s="117" t="s">
        <v>198</v>
      </c>
      <c r="B96" s="118" t="s">
        <v>199</v>
      </c>
      <c r="C96" s="35">
        <v>340.4</v>
      </c>
      <c r="D96" s="35">
        <v>340.4</v>
      </c>
      <c r="E96" s="35">
        <v>30.942</v>
      </c>
      <c r="F96" s="35">
        <v>30.942</v>
      </c>
      <c r="G96" s="35">
        <v>30.942</v>
      </c>
      <c r="H96" s="35">
        <v>30.942</v>
      </c>
      <c r="I96" s="35">
        <v>30.942</v>
      </c>
      <c r="J96" s="23"/>
    </row>
    <row r="97" spans="1:10" ht="33.75" customHeight="1" x14ac:dyDescent="0.25">
      <c r="A97" s="117" t="s">
        <v>200</v>
      </c>
      <c r="B97" s="118" t="s">
        <v>201</v>
      </c>
      <c r="C97" s="35">
        <v>2455.6999999999998</v>
      </c>
      <c r="D97" s="35">
        <v>2455.6999999999998</v>
      </c>
      <c r="E97" s="35">
        <v>134.00800000000001</v>
      </c>
      <c r="F97" s="35">
        <v>134.00800000000001</v>
      </c>
      <c r="G97" s="35">
        <v>134.00800000000001</v>
      </c>
      <c r="H97" s="35">
        <v>134.00800000000001</v>
      </c>
      <c r="I97" s="35">
        <v>134.00800000000001</v>
      </c>
      <c r="J97" s="81"/>
    </row>
    <row r="98" spans="1:10" ht="31.5" x14ac:dyDescent="0.25">
      <c r="A98" s="117" t="s">
        <v>202</v>
      </c>
      <c r="B98" s="119" t="s">
        <v>203</v>
      </c>
      <c r="C98" s="35">
        <v>202</v>
      </c>
      <c r="D98" s="35">
        <v>202</v>
      </c>
      <c r="E98" s="35">
        <v>19.780999999999999</v>
      </c>
      <c r="F98" s="35">
        <v>19.780999999999999</v>
      </c>
      <c r="G98" s="35">
        <v>19.780999999999999</v>
      </c>
      <c r="H98" s="35">
        <v>19.780999999999999</v>
      </c>
      <c r="I98" s="35">
        <v>19.780999999999999</v>
      </c>
      <c r="J98" s="23"/>
    </row>
    <row r="99" spans="1:10" x14ac:dyDescent="0.25">
      <c r="A99" s="115" t="s">
        <v>61</v>
      </c>
      <c r="B99" s="116" t="s">
        <v>204</v>
      </c>
      <c r="C99" s="114">
        <f t="shared" ref="C99:I99" si="32">SUM(C100:C104)</f>
        <v>1802.1420000000001</v>
      </c>
      <c r="D99" s="114">
        <f t="shared" si="32"/>
        <v>1802.1420000000001</v>
      </c>
      <c r="E99" s="114">
        <f t="shared" si="32"/>
        <v>164.95000000000002</v>
      </c>
      <c r="F99" s="114">
        <f t="shared" si="32"/>
        <v>160.82500000000002</v>
      </c>
      <c r="G99" s="114">
        <f t="shared" si="32"/>
        <v>160.82500000000002</v>
      </c>
      <c r="H99" s="114">
        <f t="shared" si="32"/>
        <v>160.82500000000002</v>
      </c>
      <c r="I99" s="114">
        <f t="shared" si="32"/>
        <v>160.82500000000002</v>
      </c>
      <c r="J99" s="81"/>
    </row>
    <row r="100" spans="1:10" ht="31.5" x14ac:dyDescent="0.25">
      <c r="A100" s="117" t="s">
        <v>205</v>
      </c>
      <c r="B100" s="118" t="s">
        <v>206</v>
      </c>
      <c r="C100" s="93">
        <v>109.142</v>
      </c>
      <c r="D100" s="93">
        <v>109.142</v>
      </c>
      <c r="E100" s="93">
        <v>15</v>
      </c>
      <c r="F100" s="35">
        <v>10.875</v>
      </c>
      <c r="G100" s="35">
        <v>10.875</v>
      </c>
      <c r="H100" s="35">
        <v>10.875</v>
      </c>
      <c r="I100" s="35">
        <v>10.875</v>
      </c>
      <c r="J100" s="81"/>
    </row>
    <row r="101" spans="1:10" ht="16.5" x14ac:dyDescent="0.25">
      <c r="A101" s="117" t="s">
        <v>207</v>
      </c>
      <c r="B101" s="118" t="s">
        <v>208</v>
      </c>
      <c r="C101" s="93">
        <v>553</v>
      </c>
      <c r="D101" s="93">
        <v>553</v>
      </c>
      <c r="E101" s="93">
        <v>30.24</v>
      </c>
      <c r="F101" s="35">
        <v>30.24</v>
      </c>
      <c r="G101" s="35">
        <v>30.24</v>
      </c>
      <c r="H101" s="35">
        <v>30.24</v>
      </c>
      <c r="I101" s="35">
        <v>30.24</v>
      </c>
      <c r="J101" s="81"/>
    </row>
    <row r="102" spans="1:10" ht="16.5" x14ac:dyDescent="0.25">
      <c r="A102" s="117" t="s">
        <v>209</v>
      </c>
      <c r="B102" s="118" t="s">
        <v>210</v>
      </c>
      <c r="C102" s="93">
        <v>250</v>
      </c>
      <c r="D102" s="93">
        <v>250</v>
      </c>
      <c r="E102" s="93">
        <v>29.54</v>
      </c>
      <c r="F102" s="35">
        <v>29.54</v>
      </c>
      <c r="G102" s="35">
        <v>29.54</v>
      </c>
      <c r="H102" s="35">
        <v>29.54</v>
      </c>
      <c r="I102" s="35">
        <v>29.54</v>
      </c>
      <c r="J102" s="81"/>
    </row>
    <row r="103" spans="1:10" ht="16.5" x14ac:dyDescent="0.25">
      <c r="A103" s="117" t="s">
        <v>211</v>
      </c>
      <c r="B103" s="118" t="s">
        <v>212</v>
      </c>
      <c r="C103" s="93">
        <v>540</v>
      </c>
      <c r="D103" s="93">
        <v>540</v>
      </c>
      <c r="E103" s="93">
        <v>39.270000000000003</v>
      </c>
      <c r="F103" s="35">
        <v>39.270000000000003</v>
      </c>
      <c r="G103" s="35">
        <v>39.270000000000003</v>
      </c>
      <c r="H103" s="35">
        <v>39.270000000000003</v>
      </c>
      <c r="I103" s="35">
        <v>39.270000000000003</v>
      </c>
      <c r="J103" s="81"/>
    </row>
    <row r="104" spans="1:10" ht="31.5" x14ac:dyDescent="0.25">
      <c r="A104" s="117" t="s">
        <v>213</v>
      </c>
      <c r="B104" s="118" t="s">
        <v>214</v>
      </c>
      <c r="C104" s="93">
        <v>350</v>
      </c>
      <c r="D104" s="93">
        <v>350</v>
      </c>
      <c r="E104" s="93">
        <v>50.9</v>
      </c>
      <c r="F104" s="35">
        <v>50.9</v>
      </c>
      <c r="G104" s="35">
        <v>50.9</v>
      </c>
      <c r="H104" s="35">
        <v>50.9</v>
      </c>
      <c r="I104" s="35">
        <v>50.9</v>
      </c>
      <c r="J104" s="81"/>
    </row>
    <row r="105" spans="1:10" x14ac:dyDescent="0.25">
      <c r="A105" s="115" t="s">
        <v>63</v>
      </c>
      <c r="B105" s="116" t="s">
        <v>215</v>
      </c>
      <c r="C105" s="114">
        <f t="shared" ref="C105:I105" si="33">SUM(C106:C107)</f>
        <v>1237.4182580000002</v>
      </c>
      <c r="D105" s="114">
        <f t="shared" si="33"/>
        <v>1237.4182580000002</v>
      </c>
      <c r="E105" s="114">
        <f t="shared" si="33"/>
        <v>164.95</v>
      </c>
      <c r="F105" s="114">
        <f t="shared" si="33"/>
        <v>164.95</v>
      </c>
      <c r="G105" s="114">
        <f t="shared" si="33"/>
        <v>164.95</v>
      </c>
      <c r="H105" s="114">
        <f t="shared" si="33"/>
        <v>164.95</v>
      </c>
      <c r="I105" s="114">
        <f t="shared" si="33"/>
        <v>164.95</v>
      </c>
      <c r="J105" s="81"/>
    </row>
    <row r="106" spans="1:10" ht="47.25" x14ac:dyDescent="0.25">
      <c r="A106" s="117" t="s">
        <v>216</v>
      </c>
      <c r="B106" s="118" t="s">
        <v>217</v>
      </c>
      <c r="C106" s="93">
        <v>832.73590100000001</v>
      </c>
      <c r="D106" s="93">
        <v>832.73590100000001</v>
      </c>
      <c r="E106" s="93">
        <v>121.152</v>
      </c>
      <c r="F106" s="35">
        <v>121.152</v>
      </c>
      <c r="G106" s="35">
        <v>121.152</v>
      </c>
      <c r="H106" s="35">
        <v>121.152</v>
      </c>
      <c r="I106" s="35">
        <v>121.152</v>
      </c>
      <c r="J106" s="81"/>
    </row>
    <row r="107" spans="1:10" ht="52.5" customHeight="1" x14ac:dyDescent="0.25">
      <c r="A107" s="117" t="s">
        <v>218</v>
      </c>
      <c r="B107" s="118" t="s">
        <v>219</v>
      </c>
      <c r="C107" s="93">
        <v>404.68235700000002</v>
      </c>
      <c r="D107" s="93">
        <v>404.68235700000002</v>
      </c>
      <c r="E107" s="93">
        <v>43.798000000000002</v>
      </c>
      <c r="F107" s="35">
        <v>43.798000000000002</v>
      </c>
      <c r="G107" s="35">
        <v>43.798000000000002</v>
      </c>
      <c r="H107" s="35">
        <v>43.798000000000002</v>
      </c>
      <c r="I107" s="35">
        <v>43.798000000000002</v>
      </c>
      <c r="J107" s="81"/>
    </row>
    <row r="108" spans="1:10" x14ac:dyDescent="0.25">
      <c r="A108" s="115" t="s">
        <v>175</v>
      </c>
      <c r="B108" s="116" t="s">
        <v>220</v>
      </c>
      <c r="C108" s="114">
        <f>SUM(C109:C112)</f>
        <v>1596.25369</v>
      </c>
      <c r="D108" s="114">
        <f t="shared" ref="D108:I108" si="34">SUM(D109:D112)</f>
        <v>1596.25369</v>
      </c>
      <c r="E108" s="114">
        <f t="shared" si="34"/>
        <v>164.95000000000002</v>
      </c>
      <c r="F108" s="114">
        <f t="shared" si="34"/>
        <v>164.95000000000002</v>
      </c>
      <c r="G108" s="114">
        <f t="shared" si="34"/>
        <v>164.95000000000002</v>
      </c>
      <c r="H108" s="114">
        <f t="shared" si="34"/>
        <v>164.95000000000002</v>
      </c>
      <c r="I108" s="114">
        <f t="shared" si="34"/>
        <v>164.95000000000002</v>
      </c>
      <c r="J108" s="81"/>
    </row>
    <row r="109" spans="1:10" ht="31.5" x14ac:dyDescent="0.25">
      <c r="A109" s="117" t="s">
        <v>221</v>
      </c>
      <c r="B109" s="118" t="s">
        <v>222</v>
      </c>
      <c r="C109" s="93">
        <v>489.60066799999998</v>
      </c>
      <c r="D109" s="93">
        <v>489.60066799999998</v>
      </c>
      <c r="E109" s="93">
        <v>44.540999999999997</v>
      </c>
      <c r="F109" s="35">
        <v>44.540999999999997</v>
      </c>
      <c r="G109" s="35">
        <v>44.540999999999997</v>
      </c>
      <c r="H109" s="35">
        <v>44.540999999999997</v>
      </c>
      <c r="I109" s="35">
        <v>44.540999999999997</v>
      </c>
      <c r="J109" s="81"/>
    </row>
    <row r="110" spans="1:10" ht="16.5" x14ac:dyDescent="0.25">
      <c r="A110" s="117" t="s">
        <v>223</v>
      </c>
      <c r="B110" s="118" t="s">
        <v>224</v>
      </c>
      <c r="C110" s="93">
        <v>449.77918299999999</v>
      </c>
      <c r="D110" s="93">
        <v>449.77918299999999</v>
      </c>
      <c r="E110" s="93">
        <v>24.542999999999999</v>
      </c>
      <c r="F110" s="35">
        <v>24.542999999999999</v>
      </c>
      <c r="G110" s="35">
        <v>24.542999999999999</v>
      </c>
      <c r="H110" s="35">
        <v>24.542999999999999</v>
      </c>
      <c r="I110" s="35">
        <v>24.542999999999999</v>
      </c>
      <c r="J110" s="81"/>
    </row>
    <row r="111" spans="1:10" ht="47.25" x14ac:dyDescent="0.25">
      <c r="A111" s="117" t="s">
        <v>225</v>
      </c>
      <c r="B111" s="118" t="s">
        <v>226</v>
      </c>
      <c r="C111" s="93">
        <v>357.32001400000001</v>
      </c>
      <c r="D111" s="93">
        <v>357.32001400000001</v>
      </c>
      <c r="E111" s="93">
        <v>52.234000000000002</v>
      </c>
      <c r="F111" s="35">
        <v>52.234000000000002</v>
      </c>
      <c r="G111" s="35">
        <v>52.234000000000002</v>
      </c>
      <c r="H111" s="35">
        <v>52.234000000000002</v>
      </c>
      <c r="I111" s="35">
        <v>52.234000000000002</v>
      </c>
      <c r="J111" s="81"/>
    </row>
    <row r="112" spans="1:10" ht="47.25" x14ac:dyDescent="0.25">
      <c r="A112" s="117" t="s">
        <v>227</v>
      </c>
      <c r="B112" s="118" t="s">
        <v>228</v>
      </c>
      <c r="C112" s="93">
        <v>299.55382500000002</v>
      </c>
      <c r="D112" s="93">
        <v>299.55382500000002</v>
      </c>
      <c r="E112" s="93">
        <v>43.631999999999998</v>
      </c>
      <c r="F112" s="35">
        <v>43.631999999999998</v>
      </c>
      <c r="G112" s="35">
        <v>43.631999999999998</v>
      </c>
      <c r="H112" s="35">
        <v>43.631999999999998</v>
      </c>
      <c r="I112" s="35">
        <v>43.631999999999998</v>
      </c>
      <c r="J112" s="81"/>
    </row>
    <row r="113" spans="1:10" x14ac:dyDescent="0.25">
      <c r="A113" s="110">
        <v>5</v>
      </c>
      <c r="B113" s="91" t="s">
        <v>229</v>
      </c>
      <c r="C113" s="114">
        <f>SUM(C114:C117)</f>
        <v>1636.5359999999998</v>
      </c>
      <c r="D113" s="114">
        <f t="shared" ref="D113:I113" si="35">SUM(D114:D117)</f>
        <v>1636.5359999999998</v>
      </c>
      <c r="E113" s="114">
        <f t="shared" si="35"/>
        <v>149.34699999999998</v>
      </c>
      <c r="F113" s="114">
        <f t="shared" si="35"/>
        <v>149.34700000000001</v>
      </c>
      <c r="G113" s="114">
        <f t="shared" si="35"/>
        <v>149.34700000000001</v>
      </c>
      <c r="H113" s="114">
        <f t="shared" si="35"/>
        <v>149.34700000000001</v>
      </c>
      <c r="I113" s="114">
        <f t="shared" si="35"/>
        <v>149.34700000000001</v>
      </c>
      <c r="J113" s="81"/>
    </row>
    <row r="114" spans="1:10" ht="16.5" x14ac:dyDescent="0.25">
      <c r="A114" s="117" t="s">
        <v>176</v>
      </c>
      <c r="B114" s="118" t="s">
        <v>230</v>
      </c>
      <c r="C114" s="120">
        <v>990.53</v>
      </c>
      <c r="D114" s="120">
        <v>990.53</v>
      </c>
      <c r="E114" s="93">
        <f>112.955-13.912</f>
        <v>99.042999999999992</v>
      </c>
      <c r="F114" s="35">
        <v>99.043000000000006</v>
      </c>
      <c r="G114" s="35">
        <v>99.043000000000006</v>
      </c>
      <c r="H114" s="35">
        <v>99.043000000000006</v>
      </c>
      <c r="I114" s="35">
        <v>99.043000000000006</v>
      </c>
      <c r="J114" s="81"/>
    </row>
    <row r="115" spans="1:10" ht="16.5" x14ac:dyDescent="0.25">
      <c r="A115" s="117" t="s">
        <v>231</v>
      </c>
      <c r="B115" s="118" t="s">
        <v>232</v>
      </c>
      <c r="C115" s="120">
        <v>142.89599999999999</v>
      </c>
      <c r="D115" s="120">
        <v>142.89599999999999</v>
      </c>
      <c r="E115" s="93">
        <f>15.998-1.691</f>
        <v>14.306999999999999</v>
      </c>
      <c r="F115" s="35">
        <v>14.307</v>
      </c>
      <c r="G115" s="35">
        <v>14.307</v>
      </c>
      <c r="H115" s="35">
        <v>14.307</v>
      </c>
      <c r="I115" s="35">
        <v>14.307</v>
      </c>
      <c r="J115" s="81"/>
    </row>
    <row r="116" spans="1:10" ht="31.5" x14ac:dyDescent="0.25">
      <c r="A116" s="117" t="s">
        <v>233</v>
      </c>
      <c r="B116" s="118" t="s">
        <v>234</v>
      </c>
      <c r="C116" s="120">
        <v>233.77199999999999</v>
      </c>
      <c r="D116" s="120">
        <v>233.77199999999999</v>
      </c>
      <c r="E116" s="93">
        <v>21.271000000000001</v>
      </c>
      <c r="F116" s="35">
        <v>21.271000000000001</v>
      </c>
      <c r="G116" s="35">
        <v>21.271000000000001</v>
      </c>
      <c r="H116" s="35">
        <v>21.271000000000001</v>
      </c>
      <c r="I116" s="35">
        <v>21.271000000000001</v>
      </c>
      <c r="J116" s="81"/>
    </row>
    <row r="117" spans="1:10" ht="47.25" x14ac:dyDescent="0.25">
      <c r="A117" s="117" t="s">
        <v>235</v>
      </c>
      <c r="B117" s="118" t="s">
        <v>236</v>
      </c>
      <c r="C117" s="120">
        <v>269.33800000000002</v>
      </c>
      <c r="D117" s="120">
        <v>269.33800000000002</v>
      </c>
      <c r="E117" s="93">
        <v>14.726000000000001</v>
      </c>
      <c r="F117" s="35">
        <v>14.726000000000001</v>
      </c>
      <c r="G117" s="35">
        <v>14.726000000000001</v>
      </c>
      <c r="H117" s="35">
        <v>14.726000000000001</v>
      </c>
      <c r="I117" s="35">
        <v>14.726000000000001</v>
      </c>
      <c r="J117" s="81"/>
    </row>
    <row r="118" spans="1:10" x14ac:dyDescent="0.25">
      <c r="A118" s="115" t="s">
        <v>79</v>
      </c>
      <c r="B118" s="116" t="s">
        <v>237</v>
      </c>
      <c r="C118" s="114">
        <f>SUM(C119:C125)</f>
        <v>1640.7750000000001</v>
      </c>
      <c r="D118" s="114">
        <f t="shared" ref="D118:I118" si="36">SUM(D119:D125)</f>
        <v>1640.7750000000001</v>
      </c>
      <c r="E118" s="114">
        <f t="shared" si="36"/>
        <v>160.77199999999999</v>
      </c>
      <c r="F118" s="114">
        <f t="shared" si="36"/>
        <v>160.77199999999999</v>
      </c>
      <c r="G118" s="114">
        <f t="shared" si="36"/>
        <v>160.77199999999999</v>
      </c>
      <c r="H118" s="114">
        <f t="shared" si="36"/>
        <v>160.77199999999999</v>
      </c>
      <c r="I118" s="114">
        <f t="shared" si="36"/>
        <v>160.77199999999999</v>
      </c>
      <c r="J118" s="81"/>
    </row>
    <row r="119" spans="1:10" ht="31.5" x14ac:dyDescent="0.25">
      <c r="A119" s="117" t="s">
        <v>238</v>
      </c>
      <c r="B119" s="118" t="s">
        <v>239</v>
      </c>
      <c r="C119" s="93">
        <v>193.328</v>
      </c>
      <c r="D119" s="93">
        <v>193.328</v>
      </c>
      <c r="E119" s="93">
        <v>19.445</v>
      </c>
      <c r="F119" s="35">
        <v>19.445</v>
      </c>
      <c r="G119" s="35">
        <v>19.445</v>
      </c>
      <c r="H119" s="35">
        <v>19.445</v>
      </c>
      <c r="I119" s="35">
        <v>19.445</v>
      </c>
      <c r="J119" s="81"/>
    </row>
    <row r="120" spans="1:10" ht="47.25" x14ac:dyDescent="0.25">
      <c r="A120" s="117" t="s">
        <v>240</v>
      </c>
      <c r="B120" s="118" t="s">
        <v>241</v>
      </c>
      <c r="C120" s="93">
        <v>395.61799999999999</v>
      </c>
      <c r="D120" s="93">
        <v>395.61799999999999</v>
      </c>
      <c r="E120" s="93">
        <v>39.555999999999997</v>
      </c>
      <c r="F120" s="35">
        <v>39.555999999999997</v>
      </c>
      <c r="G120" s="35">
        <v>39.555999999999997</v>
      </c>
      <c r="H120" s="35">
        <v>39.555999999999997</v>
      </c>
      <c r="I120" s="35">
        <v>39.555999999999997</v>
      </c>
      <c r="J120" s="81"/>
    </row>
    <row r="121" spans="1:10" ht="47.25" x14ac:dyDescent="0.25">
      <c r="A121" s="117" t="s">
        <v>242</v>
      </c>
      <c r="B121" s="118" t="s">
        <v>243</v>
      </c>
      <c r="C121" s="93">
        <v>209.17</v>
      </c>
      <c r="D121" s="93">
        <v>209.17</v>
      </c>
      <c r="E121" s="93">
        <v>20.998000000000001</v>
      </c>
      <c r="F121" s="35">
        <v>20.998000000000001</v>
      </c>
      <c r="G121" s="35">
        <v>20.998000000000001</v>
      </c>
      <c r="H121" s="35">
        <v>20.998000000000001</v>
      </c>
      <c r="I121" s="35">
        <v>20.998000000000001</v>
      </c>
      <c r="J121" s="81"/>
    </row>
    <row r="122" spans="1:10" ht="47.25" x14ac:dyDescent="0.25">
      <c r="A122" s="117" t="s">
        <v>244</v>
      </c>
      <c r="B122" s="118" t="s">
        <v>245</v>
      </c>
      <c r="C122" s="93">
        <v>181.423</v>
      </c>
      <c r="D122" s="93">
        <v>181.423</v>
      </c>
      <c r="E122" s="93">
        <v>18.138000000000002</v>
      </c>
      <c r="F122" s="35">
        <v>18.138000000000002</v>
      </c>
      <c r="G122" s="35">
        <v>18.138000000000002</v>
      </c>
      <c r="H122" s="35">
        <v>18.138000000000002</v>
      </c>
      <c r="I122" s="35">
        <v>18.138000000000002</v>
      </c>
      <c r="J122" s="81"/>
    </row>
    <row r="123" spans="1:10" ht="47.25" x14ac:dyDescent="0.25">
      <c r="A123" s="117" t="s">
        <v>246</v>
      </c>
      <c r="B123" s="118" t="s">
        <v>247</v>
      </c>
      <c r="C123" s="93">
        <v>182.83199999999999</v>
      </c>
      <c r="D123" s="93">
        <v>182.83199999999999</v>
      </c>
      <c r="E123" s="93">
        <v>18.277999999999999</v>
      </c>
      <c r="F123" s="35">
        <v>18.277999999999999</v>
      </c>
      <c r="G123" s="35">
        <v>18.277999999999999</v>
      </c>
      <c r="H123" s="35">
        <v>18.277999999999999</v>
      </c>
      <c r="I123" s="35">
        <v>18.277999999999999</v>
      </c>
      <c r="J123" s="81"/>
    </row>
    <row r="124" spans="1:10" ht="47.25" x14ac:dyDescent="0.25">
      <c r="A124" s="117" t="s">
        <v>248</v>
      </c>
      <c r="B124" s="118" t="s">
        <v>249</v>
      </c>
      <c r="C124" s="93">
        <v>278.613</v>
      </c>
      <c r="D124" s="93">
        <v>278.613</v>
      </c>
      <c r="E124" s="93">
        <v>27.856999999999999</v>
      </c>
      <c r="F124" s="35">
        <v>27.856999999999999</v>
      </c>
      <c r="G124" s="35">
        <v>27.856999999999999</v>
      </c>
      <c r="H124" s="35">
        <v>27.856999999999999</v>
      </c>
      <c r="I124" s="35">
        <v>27.856999999999999</v>
      </c>
      <c r="J124" s="81"/>
    </row>
    <row r="125" spans="1:10" ht="47.25" x14ac:dyDescent="0.25">
      <c r="A125" s="117" t="s">
        <v>250</v>
      </c>
      <c r="B125" s="118" t="s">
        <v>251</v>
      </c>
      <c r="C125" s="93">
        <v>199.791</v>
      </c>
      <c r="D125" s="93">
        <v>199.791</v>
      </c>
      <c r="E125" s="93">
        <v>16.5</v>
      </c>
      <c r="F125" s="35">
        <v>16.5</v>
      </c>
      <c r="G125" s="35">
        <v>16.5</v>
      </c>
      <c r="H125" s="35">
        <v>16.5</v>
      </c>
      <c r="I125" s="35">
        <v>16.5</v>
      </c>
      <c r="J125" s="81"/>
    </row>
    <row r="126" spans="1:10" x14ac:dyDescent="0.25">
      <c r="A126" s="115" t="s">
        <v>186</v>
      </c>
      <c r="B126" s="116" t="s">
        <v>252</v>
      </c>
      <c r="C126" s="121">
        <f>SUM(C127:C131)</f>
        <v>1443.732</v>
      </c>
      <c r="D126" s="121">
        <f t="shared" ref="D126:I126" si="37">SUM(D127:D131)</f>
        <v>1443.732</v>
      </c>
      <c r="E126" s="121">
        <f t="shared" si="37"/>
        <v>164.95</v>
      </c>
      <c r="F126" s="121">
        <f t="shared" si="37"/>
        <v>164.72299999999998</v>
      </c>
      <c r="G126" s="121">
        <f t="shared" si="37"/>
        <v>164.72299999999998</v>
      </c>
      <c r="H126" s="121">
        <f t="shared" si="37"/>
        <v>164.72299999999998</v>
      </c>
      <c r="I126" s="121">
        <f t="shared" si="37"/>
        <v>164.72299999999998</v>
      </c>
      <c r="J126" s="81"/>
    </row>
    <row r="127" spans="1:10" ht="47.25" x14ac:dyDescent="0.25">
      <c r="A127" s="117" t="s">
        <v>253</v>
      </c>
      <c r="B127" s="118" t="s">
        <v>254</v>
      </c>
      <c r="C127" s="93">
        <v>299.53100000000001</v>
      </c>
      <c r="D127" s="93">
        <v>299.53100000000001</v>
      </c>
      <c r="E127" s="93">
        <v>43.698999999999998</v>
      </c>
      <c r="F127" s="35">
        <v>43.636000000000003</v>
      </c>
      <c r="G127" s="35">
        <v>43.636000000000003</v>
      </c>
      <c r="H127" s="35">
        <v>43.636000000000003</v>
      </c>
      <c r="I127" s="35">
        <v>43.636000000000003</v>
      </c>
      <c r="J127" s="81"/>
    </row>
    <row r="128" spans="1:10" ht="16.5" x14ac:dyDescent="0.25">
      <c r="A128" s="117" t="s">
        <v>255</v>
      </c>
      <c r="B128" s="118" t="s">
        <v>256</v>
      </c>
      <c r="C128" s="93">
        <v>359.327</v>
      </c>
      <c r="D128" s="93">
        <v>359.327</v>
      </c>
      <c r="E128" s="93">
        <v>42.540999999999997</v>
      </c>
      <c r="F128" s="35">
        <v>42.531999999999996</v>
      </c>
      <c r="G128" s="35">
        <v>42.531999999999996</v>
      </c>
      <c r="H128" s="35">
        <v>42.531999999999996</v>
      </c>
      <c r="I128" s="35">
        <v>42.531999999999996</v>
      </c>
      <c r="J128" s="81"/>
    </row>
    <row r="129" spans="1:10" ht="47.25" x14ac:dyDescent="0.25">
      <c r="A129" s="117" t="s">
        <v>257</v>
      </c>
      <c r="B129" s="118" t="s">
        <v>258</v>
      </c>
      <c r="C129" s="93">
        <v>399.99700000000001</v>
      </c>
      <c r="D129" s="93">
        <v>399.99700000000001</v>
      </c>
      <c r="E129" s="93">
        <v>39.999000000000002</v>
      </c>
      <c r="F129" s="35">
        <v>39.999000000000002</v>
      </c>
      <c r="G129" s="35">
        <v>39.999000000000002</v>
      </c>
      <c r="H129" s="35">
        <v>39.999000000000002</v>
      </c>
      <c r="I129" s="35">
        <v>39.999000000000002</v>
      </c>
      <c r="J129" s="81"/>
    </row>
    <row r="130" spans="1:10" ht="31.5" x14ac:dyDescent="0.25">
      <c r="A130" s="117" t="s">
        <v>259</v>
      </c>
      <c r="B130" s="118" t="s">
        <v>260</v>
      </c>
      <c r="C130" s="93">
        <v>319.27800000000002</v>
      </c>
      <c r="D130" s="93">
        <v>319.27800000000002</v>
      </c>
      <c r="E130" s="93">
        <v>31.997</v>
      </c>
      <c r="F130" s="35">
        <v>31.997</v>
      </c>
      <c r="G130" s="35">
        <v>31.997</v>
      </c>
      <c r="H130" s="35">
        <v>31.997</v>
      </c>
      <c r="I130" s="35">
        <v>31.997</v>
      </c>
      <c r="J130" s="81"/>
    </row>
    <row r="131" spans="1:10" ht="47.25" x14ac:dyDescent="0.25">
      <c r="A131" s="117" t="s">
        <v>261</v>
      </c>
      <c r="B131" s="118" t="s">
        <v>262</v>
      </c>
      <c r="C131" s="93">
        <v>65.599000000000004</v>
      </c>
      <c r="D131" s="93">
        <v>65.599000000000004</v>
      </c>
      <c r="E131" s="93">
        <v>6.7140000000000004</v>
      </c>
      <c r="F131" s="35">
        <v>6.5590000000000002</v>
      </c>
      <c r="G131" s="35">
        <v>6.5590000000000002</v>
      </c>
      <c r="H131" s="35">
        <v>6.5590000000000002</v>
      </c>
      <c r="I131" s="35">
        <v>6.5590000000000002</v>
      </c>
      <c r="J131" s="81"/>
    </row>
    <row r="132" spans="1:10" x14ac:dyDescent="0.25">
      <c r="A132" s="115" t="s">
        <v>177</v>
      </c>
      <c r="B132" s="116" t="s">
        <v>263</v>
      </c>
      <c r="C132" s="121">
        <f>SUM(C133:C137)</f>
        <v>1824.827421</v>
      </c>
      <c r="D132" s="121">
        <f t="shared" ref="D132:I132" si="38">SUM(D133:D137)</f>
        <v>1824.827421</v>
      </c>
      <c r="E132" s="121">
        <f t="shared" si="38"/>
        <v>164.95000000000002</v>
      </c>
      <c r="F132" s="121">
        <f t="shared" si="38"/>
        <v>164.208</v>
      </c>
      <c r="G132" s="121">
        <f t="shared" si="38"/>
        <v>164.208</v>
      </c>
      <c r="H132" s="121">
        <f t="shared" si="38"/>
        <v>164.208</v>
      </c>
      <c r="I132" s="121">
        <f t="shared" si="38"/>
        <v>164.208</v>
      </c>
      <c r="J132" s="81"/>
    </row>
    <row r="133" spans="1:10" ht="31.5" x14ac:dyDescent="0.25">
      <c r="A133" s="117" t="s">
        <v>264</v>
      </c>
      <c r="B133" s="118" t="s">
        <v>265</v>
      </c>
      <c r="C133" s="93">
        <v>272.91843699999998</v>
      </c>
      <c r="D133" s="93">
        <v>272.91843699999998</v>
      </c>
      <c r="E133" s="93">
        <v>32.250999999999998</v>
      </c>
      <c r="F133" s="35">
        <v>32.250999999999998</v>
      </c>
      <c r="G133" s="35">
        <v>32.250999999999998</v>
      </c>
      <c r="H133" s="35">
        <v>32.250999999999998</v>
      </c>
      <c r="I133" s="35">
        <v>32.250999999999998</v>
      </c>
      <c r="J133" s="81"/>
    </row>
    <row r="134" spans="1:10" ht="47.25" x14ac:dyDescent="0.25">
      <c r="A134" s="117" t="s">
        <v>266</v>
      </c>
      <c r="B134" s="118" t="s">
        <v>267</v>
      </c>
      <c r="C134" s="93">
        <v>680.40854899999999</v>
      </c>
      <c r="D134" s="93">
        <v>680.40854899999999</v>
      </c>
      <c r="E134" s="93">
        <v>68.111999999999995</v>
      </c>
      <c r="F134" s="35">
        <v>67.998000000000005</v>
      </c>
      <c r="G134" s="35">
        <v>67.998000000000005</v>
      </c>
      <c r="H134" s="35">
        <v>67.998000000000005</v>
      </c>
      <c r="I134" s="35">
        <v>67.998000000000005</v>
      </c>
      <c r="J134" s="81"/>
    </row>
    <row r="135" spans="1:10" ht="47.25" x14ac:dyDescent="0.25">
      <c r="A135" s="117" t="s">
        <v>268</v>
      </c>
      <c r="B135" s="118" t="s">
        <v>269</v>
      </c>
      <c r="C135" s="93">
        <v>420.49426799999998</v>
      </c>
      <c r="D135" s="93">
        <v>420.49426799999998</v>
      </c>
      <c r="E135" s="93">
        <v>22.934000000000001</v>
      </c>
      <c r="F135" s="35">
        <v>22.934000000000001</v>
      </c>
      <c r="G135" s="35">
        <v>22.934000000000001</v>
      </c>
      <c r="H135" s="35">
        <v>22.934000000000001</v>
      </c>
      <c r="I135" s="35">
        <v>22.934000000000001</v>
      </c>
      <c r="J135" s="81"/>
    </row>
    <row r="136" spans="1:10" ht="63" x14ac:dyDescent="0.25">
      <c r="A136" s="117" t="s">
        <v>270</v>
      </c>
      <c r="B136" s="118" t="s">
        <v>271</v>
      </c>
      <c r="C136" s="93">
        <v>127.100228</v>
      </c>
      <c r="D136" s="93">
        <v>127.100228</v>
      </c>
      <c r="E136" s="93">
        <v>12.180999999999999</v>
      </c>
      <c r="F136" s="35">
        <v>11.553000000000001</v>
      </c>
      <c r="G136" s="35">
        <v>11.553000000000001</v>
      </c>
      <c r="H136" s="35">
        <v>11.553000000000001</v>
      </c>
      <c r="I136" s="35">
        <v>11.553000000000001</v>
      </c>
      <c r="J136" s="81"/>
    </row>
    <row r="137" spans="1:10" ht="31.5" x14ac:dyDescent="0.25">
      <c r="A137" s="117" t="s">
        <v>272</v>
      </c>
      <c r="B137" s="118" t="s">
        <v>273</v>
      </c>
      <c r="C137" s="93">
        <v>323.90593899999999</v>
      </c>
      <c r="D137" s="93">
        <v>323.90593899999999</v>
      </c>
      <c r="E137" s="93">
        <v>29.472000000000001</v>
      </c>
      <c r="F137" s="35">
        <v>29.472000000000001</v>
      </c>
      <c r="G137" s="35">
        <v>29.472000000000001</v>
      </c>
      <c r="H137" s="35">
        <v>29.472000000000001</v>
      </c>
      <c r="I137" s="35">
        <v>29.472000000000001</v>
      </c>
      <c r="J137" s="81"/>
    </row>
    <row r="138" spans="1:10" x14ac:dyDescent="0.25">
      <c r="A138" s="115" t="s">
        <v>274</v>
      </c>
      <c r="B138" s="116" t="s">
        <v>275</v>
      </c>
      <c r="C138" s="121">
        <f>C139+C146+C152+C156+C162+C167+C172+C184+C190</f>
        <v>26679.992421999999</v>
      </c>
      <c r="D138" s="121">
        <f t="shared" ref="D138:I138" si="39">D139+D146+D152+D156+D162+D167+D172+D184+D190</f>
        <v>26679.992421999999</v>
      </c>
      <c r="E138" s="121">
        <f t="shared" si="39"/>
        <v>15000.000000000002</v>
      </c>
      <c r="F138" s="121">
        <f t="shared" si="39"/>
        <v>14926.702278000001</v>
      </c>
      <c r="G138" s="121">
        <f t="shared" si="39"/>
        <v>14926.702278000001</v>
      </c>
      <c r="H138" s="121">
        <f t="shared" si="39"/>
        <v>14926.702278000001</v>
      </c>
      <c r="I138" s="121">
        <f t="shared" si="39"/>
        <v>14926.702278000001</v>
      </c>
      <c r="J138" s="81"/>
    </row>
    <row r="139" spans="1:10" x14ac:dyDescent="0.25">
      <c r="A139" s="115" t="s">
        <v>45</v>
      </c>
      <c r="B139" s="116" t="s">
        <v>197</v>
      </c>
      <c r="C139" s="121">
        <f t="shared" ref="C139" si="40">SUM(C140:C145)</f>
        <v>2992.3180000000002</v>
      </c>
      <c r="D139" s="121">
        <f t="shared" ref="D139:I139" si="41">SUM(D140:D145)</f>
        <v>2992.3180000000002</v>
      </c>
      <c r="E139" s="121">
        <f t="shared" si="41"/>
        <v>1587.356</v>
      </c>
      <c r="F139" s="121">
        <f t="shared" si="41"/>
        <v>1587.356</v>
      </c>
      <c r="G139" s="121">
        <f t="shared" si="41"/>
        <v>1587.356</v>
      </c>
      <c r="H139" s="121">
        <f t="shared" si="41"/>
        <v>1587.356</v>
      </c>
      <c r="I139" s="121">
        <f t="shared" si="41"/>
        <v>1587.356</v>
      </c>
      <c r="J139" s="81"/>
    </row>
    <row r="140" spans="1:10" ht="31.5" x14ac:dyDescent="0.25">
      <c r="A140" s="117" t="s">
        <v>198</v>
      </c>
      <c r="B140" s="118" t="s">
        <v>276</v>
      </c>
      <c r="C140" s="93">
        <v>400</v>
      </c>
      <c r="D140" s="93">
        <v>400</v>
      </c>
      <c r="E140" s="106">
        <v>120</v>
      </c>
      <c r="F140" s="35">
        <v>120</v>
      </c>
      <c r="G140" s="35">
        <v>120</v>
      </c>
      <c r="H140" s="35">
        <v>120</v>
      </c>
      <c r="I140" s="35">
        <v>120</v>
      </c>
      <c r="J140" s="81"/>
    </row>
    <row r="141" spans="1:10" ht="47.25" x14ac:dyDescent="0.25">
      <c r="A141" s="117" t="s">
        <v>200</v>
      </c>
      <c r="B141" s="118" t="s">
        <v>277</v>
      </c>
      <c r="C141" s="93">
        <v>375</v>
      </c>
      <c r="D141" s="93">
        <v>375</v>
      </c>
      <c r="E141" s="106">
        <v>75</v>
      </c>
      <c r="F141" s="35">
        <v>75</v>
      </c>
      <c r="G141" s="35">
        <v>75</v>
      </c>
      <c r="H141" s="35">
        <v>75</v>
      </c>
      <c r="I141" s="35">
        <v>75</v>
      </c>
      <c r="J141" s="81"/>
    </row>
    <row r="142" spans="1:10" ht="31.5" x14ac:dyDescent="0.25">
      <c r="A142" s="117" t="s">
        <v>202</v>
      </c>
      <c r="B142" s="118" t="s">
        <v>278</v>
      </c>
      <c r="C142" s="93">
        <v>614</v>
      </c>
      <c r="D142" s="93">
        <v>614</v>
      </c>
      <c r="E142" s="106">
        <v>184.2</v>
      </c>
      <c r="F142" s="35">
        <v>184.2</v>
      </c>
      <c r="G142" s="35">
        <v>184.2</v>
      </c>
      <c r="H142" s="35">
        <v>184.2</v>
      </c>
      <c r="I142" s="35">
        <v>184.2</v>
      </c>
      <c r="J142" s="81"/>
    </row>
    <row r="143" spans="1:10" ht="31.5" x14ac:dyDescent="0.25">
      <c r="A143" s="117" t="s">
        <v>279</v>
      </c>
      <c r="B143" s="118" t="s">
        <v>280</v>
      </c>
      <c r="C143" s="93">
        <v>310</v>
      </c>
      <c r="D143" s="93">
        <v>310</v>
      </c>
      <c r="E143" s="106">
        <v>93</v>
      </c>
      <c r="F143" s="35">
        <v>93</v>
      </c>
      <c r="G143" s="35">
        <v>93</v>
      </c>
      <c r="H143" s="35">
        <v>93</v>
      </c>
      <c r="I143" s="35">
        <v>93</v>
      </c>
      <c r="J143" s="81"/>
    </row>
    <row r="144" spans="1:10" ht="31.5" x14ac:dyDescent="0.25">
      <c r="A144" s="117" t="s">
        <v>281</v>
      </c>
      <c r="B144" s="118" t="s">
        <v>282</v>
      </c>
      <c r="C144" s="93">
        <v>194</v>
      </c>
      <c r="D144" s="93">
        <v>194</v>
      </c>
      <c r="E144" s="106">
        <v>19.3</v>
      </c>
      <c r="F144" s="35">
        <v>19.3</v>
      </c>
      <c r="G144" s="35">
        <v>19.3</v>
      </c>
      <c r="H144" s="35">
        <v>19.3</v>
      </c>
      <c r="I144" s="35">
        <v>19.3</v>
      </c>
      <c r="J144" s="81"/>
    </row>
    <row r="145" spans="1:10" ht="34.5" customHeight="1" x14ac:dyDescent="0.25">
      <c r="A145" s="117" t="s">
        <v>283</v>
      </c>
      <c r="B145" s="119" t="s">
        <v>284</v>
      </c>
      <c r="C145" s="93">
        <v>1099.318</v>
      </c>
      <c r="D145" s="93">
        <v>1099.318</v>
      </c>
      <c r="E145" s="106">
        <v>1095.856</v>
      </c>
      <c r="F145" s="35">
        <v>1095.856</v>
      </c>
      <c r="G145" s="35">
        <v>1095.856</v>
      </c>
      <c r="H145" s="35">
        <v>1095.856</v>
      </c>
      <c r="I145" s="35">
        <v>1095.856</v>
      </c>
      <c r="J145" s="81"/>
    </row>
    <row r="146" spans="1:10" ht="16.5" x14ac:dyDescent="0.25">
      <c r="A146" s="115" t="s">
        <v>61</v>
      </c>
      <c r="B146" s="116" t="s">
        <v>204</v>
      </c>
      <c r="C146" s="121">
        <f t="shared" ref="C146:H146" si="42">SUM(C147:C151)</f>
        <v>3242.7118259999997</v>
      </c>
      <c r="D146" s="121">
        <f t="shared" si="42"/>
        <v>3242.7118259999997</v>
      </c>
      <c r="E146" s="121">
        <f t="shared" si="42"/>
        <v>1902.0210000000002</v>
      </c>
      <c r="F146" s="121">
        <f t="shared" si="42"/>
        <v>1895.3670000000002</v>
      </c>
      <c r="G146" s="36">
        <f t="shared" ref="G146" si="43">SUM(G147:G151)</f>
        <v>1895.3670000000002</v>
      </c>
      <c r="H146" s="121">
        <f t="shared" si="42"/>
        <v>1895.3670000000002</v>
      </c>
      <c r="I146" s="36">
        <f t="shared" ref="I146" si="44">SUM(I147:I151)</f>
        <v>1895.3670000000002</v>
      </c>
      <c r="J146" s="81"/>
    </row>
    <row r="147" spans="1:10" ht="47.25" x14ac:dyDescent="0.25">
      <c r="A147" s="117" t="s">
        <v>205</v>
      </c>
      <c r="B147" s="118" t="s">
        <v>285</v>
      </c>
      <c r="C147" s="93">
        <v>753.96265600000004</v>
      </c>
      <c r="D147" s="93">
        <v>753.96265600000004</v>
      </c>
      <c r="E147" s="106">
        <v>213.31299999999999</v>
      </c>
      <c r="F147" s="35">
        <v>213.31299999999999</v>
      </c>
      <c r="G147" s="35">
        <v>213.31299999999999</v>
      </c>
      <c r="H147" s="35">
        <v>213.31299999999999</v>
      </c>
      <c r="I147" s="35">
        <v>213.31299999999999</v>
      </c>
      <c r="J147" s="81"/>
    </row>
    <row r="148" spans="1:10" ht="31.5" x14ac:dyDescent="0.25">
      <c r="A148" s="117" t="s">
        <v>207</v>
      </c>
      <c r="B148" s="118" t="s">
        <v>286</v>
      </c>
      <c r="C148" s="93">
        <v>858.26019499999995</v>
      </c>
      <c r="D148" s="93">
        <v>858.26019499999995</v>
      </c>
      <c r="E148" s="106">
        <v>254.50800000000001</v>
      </c>
      <c r="F148" s="35">
        <v>254.50800000000001</v>
      </c>
      <c r="G148" s="35">
        <v>254.50800000000001</v>
      </c>
      <c r="H148" s="35">
        <v>254.50800000000001</v>
      </c>
      <c r="I148" s="35">
        <v>254.50800000000001</v>
      </c>
      <c r="J148" s="81"/>
    </row>
    <row r="149" spans="1:10" ht="47.25" x14ac:dyDescent="0.25">
      <c r="A149" s="117" t="s">
        <v>209</v>
      </c>
      <c r="B149" s="118" t="s">
        <v>287</v>
      </c>
      <c r="C149" s="93">
        <v>280.64372500000002</v>
      </c>
      <c r="D149" s="93">
        <v>280.64372500000002</v>
      </c>
      <c r="E149" s="106">
        <v>84.2</v>
      </c>
      <c r="F149" s="35">
        <v>84.2</v>
      </c>
      <c r="G149" s="35">
        <v>84.2</v>
      </c>
      <c r="H149" s="35">
        <v>84.2</v>
      </c>
      <c r="I149" s="35">
        <v>84.2</v>
      </c>
      <c r="J149" s="81"/>
    </row>
    <row r="150" spans="1:10" ht="16.5" x14ac:dyDescent="0.25">
      <c r="A150" s="117" t="s">
        <v>211</v>
      </c>
      <c r="B150" s="118" t="s">
        <v>288</v>
      </c>
      <c r="C150" s="93">
        <v>549.93021099999999</v>
      </c>
      <c r="D150" s="93">
        <v>549.93021099999999</v>
      </c>
      <c r="E150" s="106">
        <v>550</v>
      </c>
      <c r="F150" s="35">
        <v>547.4</v>
      </c>
      <c r="G150" s="35">
        <v>547.4</v>
      </c>
      <c r="H150" s="35">
        <v>547.4</v>
      </c>
      <c r="I150" s="35">
        <v>547.4</v>
      </c>
      <c r="J150" s="81"/>
    </row>
    <row r="151" spans="1:10" ht="31.5" x14ac:dyDescent="0.25">
      <c r="A151" s="117" t="s">
        <v>213</v>
      </c>
      <c r="B151" s="118" t="s">
        <v>289</v>
      </c>
      <c r="C151" s="93">
        <v>799.91503899999998</v>
      </c>
      <c r="D151" s="93">
        <v>799.91503899999998</v>
      </c>
      <c r="E151" s="106">
        <v>800</v>
      </c>
      <c r="F151" s="35">
        <v>795.94600000000003</v>
      </c>
      <c r="G151" s="35">
        <v>795.94600000000003</v>
      </c>
      <c r="H151" s="35">
        <v>795.94600000000003</v>
      </c>
      <c r="I151" s="35">
        <v>795.94600000000003</v>
      </c>
      <c r="J151" s="81"/>
    </row>
    <row r="152" spans="1:10" ht="16.5" x14ac:dyDescent="0.25">
      <c r="A152" s="115" t="s">
        <v>63</v>
      </c>
      <c r="B152" s="116" t="s">
        <v>215</v>
      </c>
      <c r="C152" s="121">
        <f t="shared" ref="C152:H152" si="45">SUM(C153:C155)</f>
        <v>2595.8557820000001</v>
      </c>
      <c r="D152" s="121">
        <f t="shared" si="45"/>
        <v>2595.8557820000001</v>
      </c>
      <c r="E152" s="121">
        <f t="shared" si="45"/>
        <v>1292.866</v>
      </c>
      <c r="F152" s="121">
        <f t="shared" si="45"/>
        <v>1292.866</v>
      </c>
      <c r="G152" s="36">
        <f t="shared" ref="G152" si="46">SUM(G153:G155)</f>
        <v>1292.866</v>
      </c>
      <c r="H152" s="121">
        <f t="shared" si="45"/>
        <v>1292.866</v>
      </c>
      <c r="I152" s="36">
        <f t="shared" ref="I152" si="47">SUM(I153:I155)</f>
        <v>1292.866</v>
      </c>
      <c r="J152" s="81"/>
    </row>
    <row r="153" spans="1:10" ht="31.5" x14ac:dyDescent="0.25">
      <c r="A153" s="117" t="s">
        <v>216</v>
      </c>
      <c r="B153" s="118" t="s">
        <v>290</v>
      </c>
      <c r="C153" s="93">
        <v>1151.3741950000001</v>
      </c>
      <c r="D153" s="93">
        <v>1151.3741950000001</v>
      </c>
      <c r="E153" s="106">
        <v>225.16</v>
      </c>
      <c r="F153" s="35">
        <v>225.16</v>
      </c>
      <c r="G153" s="35">
        <v>225.16</v>
      </c>
      <c r="H153" s="35">
        <v>225.16</v>
      </c>
      <c r="I153" s="35">
        <v>225.16</v>
      </c>
      <c r="J153" s="81"/>
    </row>
    <row r="154" spans="1:10" ht="31.5" x14ac:dyDescent="0.25">
      <c r="A154" s="117" t="s">
        <v>218</v>
      </c>
      <c r="B154" s="118" t="s">
        <v>291</v>
      </c>
      <c r="C154" s="93">
        <v>445.11077399999999</v>
      </c>
      <c r="D154" s="93">
        <v>445.11077399999999</v>
      </c>
      <c r="E154" s="106">
        <v>132.82900000000001</v>
      </c>
      <c r="F154" s="35">
        <v>132.82900000000001</v>
      </c>
      <c r="G154" s="35">
        <v>132.82900000000001</v>
      </c>
      <c r="H154" s="35">
        <v>132.82900000000001</v>
      </c>
      <c r="I154" s="35">
        <v>132.82900000000001</v>
      </c>
      <c r="J154" s="81"/>
    </row>
    <row r="155" spans="1:10" ht="47.25" x14ac:dyDescent="0.25">
      <c r="A155" s="117" t="s">
        <v>292</v>
      </c>
      <c r="B155" s="118" t="s">
        <v>293</v>
      </c>
      <c r="C155" s="93">
        <v>999.370813</v>
      </c>
      <c r="D155" s="93">
        <v>999.370813</v>
      </c>
      <c r="E155" s="106">
        <v>934.87699999999995</v>
      </c>
      <c r="F155" s="35">
        <v>934.87699999999995</v>
      </c>
      <c r="G155" s="35">
        <v>934.87699999999995</v>
      </c>
      <c r="H155" s="35">
        <v>934.87699999999995</v>
      </c>
      <c r="I155" s="35">
        <v>934.87699999999995</v>
      </c>
      <c r="J155" s="81"/>
    </row>
    <row r="156" spans="1:10" ht="16.5" x14ac:dyDescent="0.25">
      <c r="A156" s="115" t="s">
        <v>175</v>
      </c>
      <c r="B156" s="116" t="s">
        <v>220</v>
      </c>
      <c r="C156" s="121">
        <f t="shared" ref="C156:H156" si="48">SUM(C157:C161)</f>
        <v>2972.731135</v>
      </c>
      <c r="D156" s="121">
        <f t="shared" si="48"/>
        <v>2972.731135</v>
      </c>
      <c r="E156" s="121">
        <f t="shared" si="48"/>
        <v>1486.94</v>
      </c>
      <c r="F156" s="121">
        <f t="shared" si="48"/>
        <v>1486.94</v>
      </c>
      <c r="G156" s="36">
        <f t="shared" ref="G156" si="49">SUM(G157:G161)</f>
        <v>1486.94</v>
      </c>
      <c r="H156" s="121">
        <f t="shared" si="48"/>
        <v>1486.94</v>
      </c>
      <c r="I156" s="36">
        <f t="shared" ref="I156" si="50">SUM(I157:I161)</f>
        <v>1486.94</v>
      </c>
      <c r="J156" s="81"/>
    </row>
    <row r="157" spans="1:10" ht="47.25" x14ac:dyDescent="0.25">
      <c r="A157" s="117" t="s">
        <v>221</v>
      </c>
      <c r="B157" s="118" t="s">
        <v>294</v>
      </c>
      <c r="C157" s="93">
        <v>694.83271999999999</v>
      </c>
      <c r="D157" s="93">
        <v>694.83271999999999</v>
      </c>
      <c r="E157" s="106">
        <v>171</v>
      </c>
      <c r="F157" s="35">
        <v>171</v>
      </c>
      <c r="G157" s="35">
        <v>171</v>
      </c>
      <c r="H157" s="35">
        <v>171</v>
      </c>
      <c r="I157" s="35">
        <v>171</v>
      </c>
      <c r="J157" s="81"/>
    </row>
    <row r="158" spans="1:10" ht="31.5" x14ac:dyDescent="0.25">
      <c r="A158" s="117" t="s">
        <v>223</v>
      </c>
      <c r="B158" s="118" t="s">
        <v>295</v>
      </c>
      <c r="C158" s="93">
        <v>1099.374611</v>
      </c>
      <c r="D158" s="93">
        <v>1099.374611</v>
      </c>
      <c r="E158" s="106">
        <v>305</v>
      </c>
      <c r="F158" s="35">
        <v>305</v>
      </c>
      <c r="G158" s="35">
        <v>305</v>
      </c>
      <c r="H158" s="35">
        <v>305</v>
      </c>
      <c r="I158" s="35">
        <v>305</v>
      </c>
      <c r="J158" s="81"/>
    </row>
    <row r="159" spans="1:10" ht="31.5" x14ac:dyDescent="0.25">
      <c r="A159" s="117" t="s">
        <v>225</v>
      </c>
      <c r="B159" s="118" t="s">
        <v>296</v>
      </c>
      <c r="C159" s="93">
        <v>181.69228100000001</v>
      </c>
      <c r="D159" s="93">
        <v>181.69228100000001</v>
      </c>
      <c r="E159" s="106">
        <v>17.100000000000001</v>
      </c>
      <c r="F159" s="35">
        <v>17.100000000000001</v>
      </c>
      <c r="G159" s="35">
        <v>17.100000000000001</v>
      </c>
      <c r="H159" s="35">
        <v>17.100000000000001</v>
      </c>
      <c r="I159" s="35">
        <v>17.100000000000001</v>
      </c>
      <c r="J159" s="81"/>
    </row>
    <row r="160" spans="1:10" ht="31.5" x14ac:dyDescent="0.25">
      <c r="A160" s="117" t="s">
        <v>227</v>
      </c>
      <c r="B160" s="118" t="s">
        <v>297</v>
      </c>
      <c r="C160" s="93">
        <v>389.37798500000002</v>
      </c>
      <c r="D160" s="93">
        <v>389.37798500000002</v>
      </c>
      <c r="E160" s="106">
        <v>387.67</v>
      </c>
      <c r="F160" s="35">
        <v>387.67</v>
      </c>
      <c r="G160" s="35">
        <v>387.67</v>
      </c>
      <c r="H160" s="35">
        <v>387.67</v>
      </c>
      <c r="I160" s="35">
        <v>387.67</v>
      </c>
      <c r="J160" s="81"/>
    </row>
    <row r="161" spans="1:10" ht="31.5" x14ac:dyDescent="0.25">
      <c r="A161" s="117" t="s">
        <v>298</v>
      </c>
      <c r="B161" s="118" t="s">
        <v>299</v>
      </c>
      <c r="C161" s="93">
        <v>607.45353799999998</v>
      </c>
      <c r="D161" s="93">
        <v>607.45353799999998</v>
      </c>
      <c r="E161" s="106">
        <v>606.16999999999996</v>
      </c>
      <c r="F161" s="35">
        <v>606.16999999999996</v>
      </c>
      <c r="G161" s="35">
        <v>606.16999999999996</v>
      </c>
      <c r="H161" s="35">
        <v>606.16999999999996</v>
      </c>
      <c r="I161" s="35">
        <v>606.16999999999996</v>
      </c>
      <c r="J161" s="81"/>
    </row>
    <row r="162" spans="1:10" ht="16.5" x14ac:dyDescent="0.25">
      <c r="A162" s="115" t="s">
        <v>183</v>
      </c>
      <c r="B162" s="116" t="s">
        <v>229</v>
      </c>
      <c r="C162" s="121">
        <f t="shared" ref="C162:H162" si="51">SUM(C163:C166)</f>
        <v>3046</v>
      </c>
      <c r="D162" s="121">
        <f t="shared" si="51"/>
        <v>3046</v>
      </c>
      <c r="E162" s="121">
        <f t="shared" si="51"/>
        <v>1667.164</v>
      </c>
      <c r="F162" s="121">
        <f t="shared" si="51"/>
        <v>1643.0439999999999</v>
      </c>
      <c r="G162" s="36">
        <f t="shared" ref="G162" si="52">SUM(G163:G166)</f>
        <v>1643.0439999999999</v>
      </c>
      <c r="H162" s="121">
        <f t="shared" si="51"/>
        <v>1643.0439999999999</v>
      </c>
      <c r="I162" s="36">
        <f t="shared" ref="I162" si="53">SUM(I163:I166)</f>
        <v>1643.0439999999999</v>
      </c>
      <c r="J162" s="81"/>
    </row>
    <row r="163" spans="1:10" ht="47.25" x14ac:dyDescent="0.25">
      <c r="A163" s="117" t="s">
        <v>176</v>
      </c>
      <c r="B163" s="118" t="s">
        <v>300</v>
      </c>
      <c r="C163" s="93">
        <v>932</v>
      </c>
      <c r="D163" s="93">
        <v>932</v>
      </c>
      <c r="E163" s="106">
        <v>255.239</v>
      </c>
      <c r="F163" s="35">
        <v>255.239</v>
      </c>
      <c r="G163" s="35">
        <v>255.239</v>
      </c>
      <c r="H163" s="35">
        <v>255.239</v>
      </c>
      <c r="I163" s="35">
        <v>255.239</v>
      </c>
      <c r="J163" s="81"/>
    </row>
    <row r="164" spans="1:10" ht="47.25" x14ac:dyDescent="0.25">
      <c r="A164" s="117" t="s">
        <v>231</v>
      </c>
      <c r="B164" s="118" t="s">
        <v>301</v>
      </c>
      <c r="C164" s="93">
        <v>613</v>
      </c>
      <c r="D164" s="93">
        <v>613</v>
      </c>
      <c r="E164" s="106">
        <v>176.52600000000001</v>
      </c>
      <c r="F164" s="35">
        <v>176.52600000000001</v>
      </c>
      <c r="G164" s="35">
        <v>176.52600000000001</v>
      </c>
      <c r="H164" s="35">
        <v>176.52600000000001</v>
      </c>
      <c r="I164" s="35">
        <v>176.52600000000001</v>
      </c>
      <c r="J164" s="81"/>
    </row>
    <row r="165" spans="1:10" ht="31.5" x14ac:dyDescent="0.25">
      <c r="A165" s="117" t="s">
        <v>233</v>
      </c>
      <c r="B165" s="118" t="s">
        <v>302</v>
      </c>
      <c r="C165" s="93">
        <v>349</v>
      </c>
      <c r="D165" s="93">
        <v>349</v>
      </c>
      <c r="E165" s="106">
        <v>98.006</v>
      </c>
      <c r="F165" s="35">
        <v>98.006</v>
      </c>
      <c r="G165" s="35">
        <v>98.006</v>
      </c>
      <c r="H165" s="35">
        <v>98.006</v>
      </c>
      <c r="I165" s="35">
        <v>98.006</v>
      </c>
      <c r="J165" s="81"/>
    </row>
    <row r="166" spans="1:10" ht="16.5" x14ac:dyDescent="0.25">
      <c r="A166" s="117" t="s">
        <v>235</v>
      </c>
      <c r="B166" s="118" t="s">
        <v>303</v>
      </c>
      <c r="C166" s="93">
        <v>1152</v>
      </c>
      <c r="D166" s="93">
        <v>1152</v>
      </c>
      <c r="E166" s="106">
        <v>1137.393</v>
      </c>
      <c r="F166" s="35">
        <v>1113.2729999999999</v>
      </c>
      <c r="G166" s="35">
        <v>1113.2729999999999</v>
      </c>
      <c r="H166" s="35">
        <v>1113.2729999999999</v>
      </c>
      <c r="I166" s="35">
        <v>1113.2729999999999</v>
      </c>
      <c r="J166" s="81"/>
    </row>
    <row r="167" spans="1:10" ht="16.5" x14ac:dyDescent="0.25">
      <c r="A167" s="115" t="s">
        <v>79</v>
      </c>
      <c r="B167" s="116" t="s">
        <v>237</v>
      </c>
      <c r="C167" s="121">
        <f t="shared" ref="C167:H167" si="54">SUM(C168:C171)</f>
        <v>2968.6109999999999</v>
      </c>
      <c r="D167" s="121">
        <f t="shared" si="54"/>
        <v>2968.6109999999999</v>
      </c>
      <c r="E167" s="121">
        <f t="shared" si="54"/>
        <v>1517.2289999999998</v>
      </c>
      <c r="F167" s="121">
        <f t="shared" si="54"/>
        <v>1477.829</v>
      </c>
      <c r="G167" s="36">
        <f t="shared" ref="G167" si="55">SUM(G168:G171)</f>
        <v>1477.829</v>
      </c>
      <c r="H167" s="121">
        <f t="shared" si="54"/>
        <v>1477.829</v>
      </c>
      <c r="I167" s="36">
        <f t="shared" ref="I167" si="56">SUM(I168:I171)</f>
        <v>1477.829</v>
      </c>
      <c r="J167" s="81"/>
    </row>
    <row r="168" spans="1:10" ht="31.5" x14ac:dyDescent="0.25">
      <c r="A168" s="117" t="s">
        <v>238</v>
      </c>
      <c r="B168" s="118" t="s">
        <v>304</v>
      </c>
      <c r="C168" s="93">
        <v>1152.2</v>
      </c>
      <c r="D168" s="93">
        <v>1152.2</v>
      </c>
      <c r="E168" s="106">
        <v>231.2</v>
      </c>
      <c r="F168" s="35">
        <v>231.2</v>
      </c>
      <c r="G168" s="35">
        <v>231.2</v>
      </c>
      <c r="H168" s="35">
        <v>231.2</v>
      </c>
      <c r="I168" s="35">
        <v>231.2</v>
      </c>
      <c r="J168" s="81"/>
    </row>
    <row r="169" spans="1:10" ht="47.25" x14ac:dyDescent="0.25">
      <c r="A169" s="117" t="s">
        <v>240</v>
      </c>
      <c r="B169" s="118" t="s">
        <v>305</v>
      </c>
      <c r="C169" s="93">
        <v>527.08199999999999</v>
      </c>
      <c r="D169" s="93">
        <v>527.08199999999999</v>
      </c>
      <c r="E169" s="106">
        <v>153.97999999999999</v>
      </c>
      <c r="F169" s="35">
        <v>153.97999999999999</v>
      </c>
      <c r="G169" s="35">
        <v>153.97999999999999</v>
      </c>
      <c r="H169" s="35">
        <v>153.97999999999999</v>
      </c>
      <c r="I169" s="35">
        <v>153.97999999999999</v>
      </c>
      <c r="J169" s="81"/>
    </row>
    <row r="170" spans="1:10" ht="47.25" x14ac:dyDescent="0.25">
      <c r="A170" s="117" t="s">
        <v>242</v>
      </c>
      <c r="B170" s="118" t="s">
        <v>306</v>
      </c>
      <c r="C170" s="93">
        <v>799.43899999999996</v>
      </c>
      <c r="D170" s="93">
        <v>799.43899999999996</v>
      </c>
      <c r="E170" s="106">
        <v>782.04899999999998</v>
      </c>
      <c r="F170" s="35">
        <v>742.649</v>
      </c>
      <c r="G170" s="35">
        <v>742.649</v>
      </c>
      <c r="H170" s="35">
        <v>742.649</v>
      </c>
      <c r="I170" s="35">
        <v>742.649</v>
      </c>
      <c r="J170" s="81"/>
    </row>
    <row r="171" spans="1:10" ht="47.25" x14ac:dyDescent="0.25">
      <c r="A171" s="117" t="s">
        <v>244</v>
      </c>
      <c r="B171" s="118" t="s">
        <v>307</v>
      </c>
      <c r="C171" s="93">
        <v>489.89</v>
      </c>
      <c r="D171" s="93">
        <v>489.89</v>
      </c>
      <c r="E171" s="106">
        <v>350</v>
      </c>
      <c r="F171" s="35">
        <v>350</v>
      </c>
      <c r="G171" s="35">
        <v>350</v>
      </c>
      <c r="H171" s="35">
        <v>350</v>
      </c>
      <c r="I171" s="35">
        <v>350</v>
      </c>
      <c r="J171" s="81"/>
    </row>
    <row r="172" spans="1:10" ht="16.5" x14ac:dyDescent="0.25">
      <c r="A172" s="115" t="s">
        <v>186</v>
      </c>
      <c r="B172" s="116" t="s">
        <v>252</v>
      </c>
      <c r="C172" s="121">
        <f t="shared" ref="C172:H172" si="57">SUM(C173:C183)</f>
        <v>4785.4059999999999</v>
      </c>
      <c r="D172" s="121">
        <f t="shared" si="57"/>
        <v>4785.4059999999999</v>
      </c>
      <c r="E172" s="121">
        <f t="shared" si="57"/>
        <v>3091.1609999999996</v>
      </c>
      <c r="F172" s="121">
        <f t="shared" si="57"/>
        <v>3091.1609999999996</v>
      </c>
      <c r="G172" s="36">
        <f t="shared" ref="G172" si="58">SUM(G173:G183)</f>
        <v>3091.1609999999996</v>
      </c>
      <c r="H172" s="121">
        <f t="shared" si="57"/>
        <v>3091.1609999999996</v>
      </c>
      <c r="I172" s="36">
        <f t="shared" ref="I172" si="59">SUM(I173:I183)</f>
        <v>3091.1609999999996</v>
      </c>
      <c r="J172" s="81"/>
    </row>
    <row r="173" spans="1:10" ht="31.5" x14ac:dyDescent="0.25">
      <c r="A173" s="117" t="s">
        <v>253</v>
      </c>
      <c r="B173" s="118" t="s">
        <v>308</v>
      </c>
      <c r="C173" s="93">
        <v>507.154</v>
      </c>
      <c r="D173" s="93">
        <v>507.154</v>
      </c>
      <c r="E173" s="106">
        <v>94.015000000000001</v>
      </c>
      <c r="F173" s="35">
        <v>94.015000000000001</v>
      </c>
      <c r="G173" s="35">
        <v>94.015000000000001</v>
      </c>
      <c r="H173" s="35">
        <v>94.015000000000001</v>
      </c>
      <c r="I173" s="35">
        <v>94.015000000000001</v>
      </c>
      <c r="J173" s="81"/>
    </row>
    <row r="174" spans="1:10" ht="63" x14ac:dyDescent="0.25">
      <c r="A174" s="117" t="s">
        <v>255</v>
      </c>
      <c r="B174" s="118" t="s">
        <v>309</v>
      </c>
      <c r="C174" s="93">
        <v>106.202</v>
      </c>
      <c r="D174" s="93">
        <v>106.202</v>
      </c>
      <c r="E174" s="106">
        <v>27.606000000000002</v>
      </c>
      <c r="F174" s="35">
        <v>27.606000000000002</v>
      </c>
      <c r="G174" s="35">
        <v>27.606000000000002</v>
      </c>
      <c r="H174" s="35">
        <v>27.606000000000002</v>
      </c>
      <c r="I174" s="35">
        <v>27.606000000000002</v>
      </c>
      <c r="J174" s="81"/>
    </row>
    <row r="175" spans="1:10" ht="47.25" x14ac:dyDescent="0.25">
      <c r="A175" s="117" t="s">
        <v>257</v>
      </c>
      <c r="B175" s="118" t="s">
        <v>310</v>
      </c>
      <c r="C175" s="93">
        <v>409.00200000000001</v>
      </c>
      <c r="D175" s="93">
        <v>409.00200000000001</v>
      </c>
      <c r="E175" s="106">
        <v>117.43899999999999</v>
      </c>
      <c r="F175" s="35">
        <v>117.43899999999999</v>
      </c>
      <c r="G175" s="35">
        <v>117.43899999999999</v>
      </c>
      <c r="H175" s="35">
        <v>117.43899999999999</v>
      </c>
      <c r="I175" s="35">
        <v>117.43899999999999</v>
      </c>
      <c r="J175" s="81"/>
    </row>
    <row r="176" spans="1:10" ht="47.25" x14ac:dyDescent="0.25">
      <c r="A176" s="117" t="s">
        <v>259</v>
      </c>
      <c r="B176" s="118" t="s">
        <v>311</v>
      </c>
      <c r="C176" s="93">
        <v>92.602000000000004</v>
      </c>
      <c r="D176" s="93">
        <v>92.602000000000004</v>
      </c>
      <c r="E176" s="106">
        <v>23.710999999999999</v>
      </c>
      <c r="F176" s="35">
        <v>23.710999999999999</v>
      </c>
      <c r="G176" s="35">
        <v>23.710999999999999</v>
      </c>
      <c r="H176" s="35">
        <v>23.710999999999999</v>
      </c>
      <c r="I176" s="35">
        <v>23.710999999999999</v>
      </c>
      <c r="J176" s="81"/>
    </row>
    <row r="177" spans="1:10" ht="47.25" x14ac:dyDescent="0.25">
      <c r="A177" s="117" t="s">
        <v>261</v>
      </c>
      <c r="B177" s="118" t="s">
        <v>312</v>
      </c>
      <c r="C177" s="93">
        <v>237.803</v>
      </c>
      <c r="D177" s="93">
        <v>237.803</v>
      </c>
      <c r="E177" s="106">
        <v>66.852999999999994</v>
      </c>
      <c r="F177" s="35">
        <v>66.852999999999994</v>
      </c>
      <c r="G177" s="35">
        <v>66.852999999999994</v>
      </c>
      <c r="H177" s="35">
        <v>66.852999999999994</v>
      </c>
      <c r="I177" s="35">
        <v>66.852999999999994</v>
      </c>
      <c r="J177" s="81"/>
    </row>
    <row r="178" spans="1:10" ht="47.25" x14ac:dyDescent="0.25">
      <c r="A178" s="117" t="s">
        <v>313</v>
      </c>
      <c r="B178" s="118" t="s">
        <v>314</v>
      </c>
      <c r="C178" s="93">
        <v>116.902</v>
      </c>
      <c r="D178" s="93">
        <v>116.902</v>
      </c>
      <c r="E178" s="106">
        <v>31.077000000000002</v>
      </c>
      <c r="F178" s="35">
        <v>31.077000000000002</v>
      </c>
      <c r="G178" s="35">
        <v>31.077000000000002</v>
      </c>
      <c r="H178" s="35">
        <v>31.077000000000002</v>
      </c>
      <c r="I178" s="35">
        <v>31.077000000000002</v>
      </c>
      <c r="J178" s="81"/>
    </row>
    <row r="179" spans="1:10" ht="47.25" x14ac:dyDescent="0.25">
      <c r="A179" s="117" t="s">
        <v>315</v>
      </c>
      <c r="B179" s="118" t="s">
        <v>316</v>
      </c>
      <c r="C179" s="93">
        <v>327.26600000000002</v>
      </c>
      <c r="D179" s="93">
        <v>327.26600000000002</v>
      </c>
      <c r="E179" s="106">
        <v>93.347999999999999</v>
      </c>
      <c r="F179" s="35">
        <v>93.347999999999999</v>
      </c>
      <c r="G179" s="35">
        <v>93.347999999999999</v>
      </c>
      <c r="H179" s="35">
        <v>93.347999999999999</v>
      </c>
      <c r="I179" s="35">
        <v>93.347999999999999</v>
      </c>
      <c r="J179" s="81"/>
    </row>
    <row r="180" spans="1:10" ht="47.25" x14ac:dyDescent="0.25">
      <c r="A180" s="117" t="s">
        <v>317</v>
      </c>
      <c r="B180" s="118" t="s">
        <v>318</v>
      </c>
      <c r="C180" s="93">
        <v>1699.5740000000001</v>
      </c>
      <c r="D180" s="93">
        <v>1699.5740000000001</v>
      </c>
      <c r="E180" s="106">
        <v>1363.337</v>
      </c>
      <c r="F180" s="35">
        <v>1363.337</v>
      </c>
      <c r="G180" s="35">
        <v>1363.337</v>
      </c>
      <c r="H180" s="35">
        <v>1363.337</v>
      </c>
      <c r="I180" s="35">
        <v>1363.337</v>
      </c>
      <c r="J180" s="81"/>
    </row>
    <row r="181" spans="1:10" ht="47.25" x14ac:dyDescent="0.25">
      <c r="A181" s="117" t="s">
        <v>319</v>
      </c>
      <c r="B181" s="118" t="s">
        <v>320</v>
      </c>
      <c r="C181" s="93">
        <v>453.22199999999998</v>
      </c>
      <c r="D181" s="93">
        <v>453.22199999999998</v>
      </c>
      <c r="E181" s="106">
        <v>441.29599999999999</v>
      </c>
      <c r="F181" s="35">
        <v>441.29599999999999</v>
      </c>
      <c r="G181" s="35">
        <v>441.29599999999999</v>
      </c>
      <c r="H181" s="35">
        <v>441.29599999999999</v>
      </c>
      <c r="I181" s="35">
        <v>441.29599999999999</v>
      </c>
      <c r="J181" s="81"/>
    </row>
    <row r="182" spans="1:10" ht="47.25" x14ac:dyDescent="0.25">
      <c r="A182" s="117" t="s">
        <v>321</v>
      </c>
      <c r="B182" s="118" t="s">
        <v>322</v>
      </c>
      <c r="C182" s="93">
        <v>381.6</v>
      </c>
      <c r="D182" s="93">
        <v>381.6</v>
      </c>
      <c r="E182" s="106">
        <v>380</v>
      </c>
      <c r="F182" s="35">
        <v>380</v>
      </c>
      <c r="G182" s="35">
        <v>380</v>
      </c>
      <c r="H182" s="35">
        <v>380</v>
      </c>
      <c r="I182" s="35">
        <v>380</v>
      </c>
      <c r="J182" s="81"/>
    </row>
    <row r="183" spans="1:10" ht="63" x14ac:dyDescent="0.25">
      <c r="A183" s="117" t="s">
        <v>323</v>
      </c>
      <c r="B183" s="118" t="s">
        <v>324</v>
      </c>
      <c r="C183" s="93">
        <v>454.07900000000001</v>
      </c>
      <c r="D183" s="93">
        <v>454.07900000000001</v>
      </c>
      <c r="E183" s="106">
        <v>452.47899999999998</v>
      </c>
      <c r="F183" s="35">
        <v>452.47899999999998</v>
      </c>
      <c r="G183" s="35">
        <v>452.47899999999998</v>
      </c>
      <c r="H183" s="35">
        <v>452.47899999999998</v>
      </c>
      <c r="I183" s="35">
        <v>452.47899999999998</v>
      </c>
      <c r="J183" s="81"/>
    </row>
    <row r="184" spans="1:10" ht="16.5" x14ac:dyDescent="0.25">
      <c r="A184" s="115" t="s">
        <v>177</v>
      </c>
      <c r="B184" s="116" t="s">
        <v>263</v>
      </c>
      <c r="C184" s="121">
        <f t="shared" ref="C184:I184" si="60">SUM(C185:C189)</f>
        <v>3126.3284050000002</v>
      </c>
      <c r="D184" s="121">
        <f t="shared" si="60"/>
        <v>3126.3284050000002</v>
      </c>
      <c r="E184" s="121">
        <f t="shared" si="60"/>
        <v>1521.386</v>
      </c>
      <c r="F184" s="121">
        <f t="shared" si="60"/>
        <v>1518.2622780000002</v>
      </c>
      <c r="G184" s="36">
        <f t="shared" si="60"/>
        <v>1518.2622780000002</v>
      </c>
      <c r="H184" s="121">
        <f t="shared" si="60"/>
        <v>1518.2622780000002</v>
      </c>
      <c r="I184" s="36">
        <f t="shared" si="60"/>
        <v>1518.2622780000002</v>
      </c>
      <c r="J184" s="81"/>
    </row>
    <row r="185" spans="1:10" ht="31.5" x14ac:dyDescent="0.25">
      <c r="A185" s="117" t="s">
        <v>264</v>
      </c>
      <c r="B185" s="118" t="s">
        <v>325</v>
      </c>
      <c r="C185" s="93">
        <v>1123.913264</v>
      </c>
      <c r="D185" s="93">
        <v>1123.913264</v>
      </c>
      <c r="E185" s="106">
        <v>215.34899999999999</v>
      </c>
      <c r="F185" s="35">
        <v>215.34827799999999</v>
      </c>
      <c r="G185" s="35">
        <v>215.34827799999999</v>
      </c>
      <c r="H185" s="35">
        <v>215.34827799999999</v>
      </c>
      <c r="I185" s="35">
        <v>215.34827799999999</v>
      </c>
      <c r="J185" s="81"/>
    </row>
    <row r="186" spans="1:10" ht="47.25" x14ac:dyDescent="0.25">
      <c r="A186" s="117" t="s">
        <v>266</v>
      </c>
      <c r="B186" s="118" t="s">
        <v>326</v>
      </c>
      <c r="C186" s="93">
        <v>592.50049999999999</v>
      </c>
      <c r="D186" s="93">
        <v>592.50049999999999</v>
      </c>
      <c r="E186" s="106">
        <v>171.89699999999999</v>
      </c>
      <c r="F186" s="35">
        <v>171.89699999999999</v>
      </c>
      <c r="G186" s="35">
        <v>171.89699999999999</v>
      </c>
      <c r="H186" s="35">
        <v>171.89699999999999</v>
      </c>
      <c r="I186" s="35">
        <v>171.89699999999999</v>
      </c>
      <c r="J186" s="81"/>
    </row>
    <row r="187" spans="1:10" ht="47.25" x14ac:dyDescent="0.25">
      <c r="A187" s="117" t="s">
        <v>268</v>
      </c>
      <c r="B187" s="122" t="s">
        <v>327</v>
      </c>
      <c r="C187" s="93">
        <v>53.8</v>
      </c>
      <c r="D187" s="93">
        <v>53.8</v>
      </c>
      <c r="E187" s="106">
        <v>3.5249999999999999</v>
      </c>
      <c r="F187" s="35">
        <v>2.222</v>
      </c>
      <c r="G187" s="35">
        <v>2.222</v>
      </c>
      <c r="H187" s="35">
        <v>2.222</v>
      </c>
      <c r="I187" s="35">
        <v>2.222</v>
      </c>
      <c r="J187" s="81"/>
    </row>
    <row r="188" spans="1:10" ht="78.75" x14ac:dyDescent="0.25">
      <c r="A188" s="117" t="s">
        <v>270</v>
      </c>
      <c r="B188" s="122" t="s">
        <v>328</v>
      </c>
      <c r="C188" s="93">
        <v>56.9</v>
      </c>
      <c r="D188" s="93">
        <v>56.9</v>
      </c>
      <c r="E188" s="106">
        <v>3.6749999999999998</v>
      </c>
      <c r="F188" s="35">
        <v>1.855</v>
      </c>
      <c r="G188" s="35">
        <v>1.855</v>
      </c>
      <c r="H188" s="35">
        <v>1.855</v>
      </c>
      <c r="I188" s="35">
        <v>1.855</v>
      </c>
      <c r="J188" s="81"/>
    </row>
    <row r="189" spans="1:10" ht="47.25" x14ac:dyDescent="0.25">
      <c r="A189" s="117" t="s">
        <v>272</v>
      </c>
      <c r="B189" s="119" t="s">
        <v>329</v>
      </c>
      <c r="C189" s="93">
        <v>1299.214641</v>
      </c>
      <c r="D189" s="93">
        <v>1299.214641</v>
      </c>
      <c r="E189" s="106">
        <v>1126.94</v>
      </c>
      <c r="F189" s="35">
        <v>1126.94</v>
      </c>
      <c r="G189" s="35">
        <v>1126.94</v>
      </c>
      <c r="H189" s="35">
        <v>1126.94</v>
      </c>
      <c r="I189" s="35">
        <v>1126.94</v>
      </c>
      <c r="J189" s="81"/>
    </row>
    <row r="190" spans="1:10" ht="16.5" x14ac:dyDescent="0.25">
      <c r="A190" s="115" t="s">
        <v>330</v>
      </c>
      <c r="B190" s="123" t="s">
        <v>331</v>
      </c>
      <c r="C190" s="121">
        <f t="shared" ref="C190:H190" si="61">C191</f>
        <v>950.03027399999996</v>
      </c>
      <c r="D190" s="121">
        <f t="shared" si="61"/>
        <v>950.03027399999996</v>
      </c>
      <c r="E190" s="121">
        <f t="shared" si="61"/>
        <v>933.87699999999995</v>
      </c>
      <c r="F190" s="121">
        <f t="shared" si="61"/>
        <v>933.87699999999995</v>
      </c>
      <c r="G190" s="36">
        <f>G191</f>
        <v>933.87699999999995</v>
      </c>
      <c r="H190" s="121">
        <f t="shared" si="61"/>
        <v>933.87699999999995</v>
      </c>
      <c r="I190" s="36">
        <f>I191</f>
        <v>933.87699999999995</v>
      </c>
      <c r="J190" s="81"/>
    </row>
    <row r="191" spans="1:10" ht="47.25" x14ac:dyDescent="0.25">
      <c r="A191" s="117" t="s">
        <v>332</v>
      </c>
      <c r="B191" s="119" t="s">
        <v>333</v>
      </c>
      <c r="C191" s="93">
        <v>950.03027399999996</v>
      </c>
      <c r="D191" s="93">
        <v>950.03027399999996</v>
      </c>
      <c r="E191" s="106">
        <v>933.87699999999995</v>
      </c>
      <c r="F191" s="35">
        <v>933.87699999999995</v>
      </c>
      <c r="G191" s="35">
        <v>933.87699999999995</v>
      </c>
      <c r="H191" s="35">
        <v>933.87699999999995</v>
      </c>
      <c r="I191" s="35">
        <v>933.87699999999995</v>
      </c>
      <c r="J191" s="81"/>
    </row>
    <row r="192" spans="1:10" ht="47.25" x14ac:dyDescent="0.25">
      <c r="A192" s="110" t="s">
        <v>109</v>
      </c>
      <c r="B192" s="116" t="s">
        <v>136</v>
      </c>
      <c r="C192" s="121"/>
      <c r="D192" s="121"/>
      <c r="E192" s="121">
        <v>3000</v>
      </c>
      <c r="F192" s="36">
        <v>3476.435974</v>
      </c>
      <c r="G192" s="36">
        <v>3476.435974</v>
      </c>
      <c r="H192" s="36">
        <v>3476.435974</v>
      </c>
      <c r="I192" s="36">
        <v>3476.435974</v>
      </c>
      <c r="J192" s="81"/>
    </row>
    <row r="193" spans="1:10" x14ac:dyDescent="0.25">
      <c r="A193" s="22"/>
      <c r="B193" s="22"/>
      <c r="D193" s="22"/>
      <c r="E193" s="22"/>
      <c r="F193" s="131"/>
      <c r="G193" s="131"/>
      <c r="H193" s="131"/>
      <c r="I193" s="131"/>
      <c r="J193" s="22"/>
    </row>
    <row r="194" spans="1:10" x14ac:dyDescent="0.25">
      <c r="A194" s="22"/>
      <c r="B194" s="22"/>
      <c r="D194" s="22"/>
      <c r="E194" s="22"/>
      <c r="F194" s="131"/>
      <c r="G194" s="131"/>
      <c r="H194" s="131"/>
      <c r="I194" s="131"/>
      <c r="J194" s="22"/>
    </row>
    <row r="195" spans="1:10" x14ac:dyDescent="0.25">
      <c r="A195" s="22"/>
      <c r="B195" s="22"/>
      <c r="D195" s="22"/>
      <c r="E195" s="22"/>
      <c r="F195" s="131"/>
      <c r="G195" s="131"/>
      <c r="H195" s="131"/>
      <c r="I195" s="131"/>
      <c r="J195" s="22"/>
    </row>
    <row r="196" spans="1:10" x14ac:dyDescent="0.25">
      <c r="A196" s="22"/>
      <c r="B196" s="22"/>
      <c r="D196" s="22"/>
      <c r="E196" s="22"/>
      <c r="F196" s="131"/>
      <c r="G196" s="131"/>
      <c r="H196" s="131"/>
      <c r="I196" s="131"/>
      <c r="J196" s="22"/>
    </row>
    <row r="197" spans="1:10" x14ac:dyDescent="0.25">
      <c r="A197" s="22"/>
      <c r="B197" s="22"/>
      <c r="D197" s="22"/>
      <c r="E197" s="22"/>
      <c r="F197" s="131"/>
      <c r="G197" s="131"/>
      <c r="H197" s="131"/>
      <c r="I197" s="131"/>
      <c r="J197" s="22"/>
    </row>
    <row r="198" spans="1:10" x14ac:dyDescent="0.25">
      <c r="A198" s="22"/>
      <c r="B198" s="22"/>
      <c r="D198" s="22"/>
      <c r="E198" s="22"/>
      <c r="F198" s="131"/>
      <c r="G198" s="131"/>
      <c r="H198" s="131"/>
      <c r="I198" s="131"/>
      <c r="J198" s="22"/>
    </row>
    <row r="199" spans="1:10" x14ac:dyDescent="0.25">
      <c r="A199" s="22"/>
      <c r="B199" s="22"/>
      <c r="D199" s="22"/>
      <c r="E199" s="22"/>
      <c r="F199" s="131"/>
      <c r="G199" s="131"/>
      <c r="H199" s="131"/>
      <c r="I199" s="131"/>
      <c r="J199" s="22"/>
    </row>
    <row r="200" spans="1:10" x14ac:dyDescent="0.25">
      <c r="A200" s="22"/>
      <c r="B200" s="22"/>
      <c r="D200" s="22"/>
      <c r="E200" s="22"/>
      <c r="F200" s="131"/>
      <c r="G200" s="131"/>
      <c r="H200" s="131"/>
      <c r="I200" s="131"/>
      <c r="J200" s="22"/>
    </row>
    <row r="201" spans="1:10" x14ac:dyDescent="0.25">
      <c r="A201" s="22"/>
      <c r="B201" s="22"/>
      <c r="D201" s="22"/>
      <c r="E201" s="22"/>
      <c r="F201" s="131"/>
      <c r="G201" s="131"/>
      <c r="H201" s="131"/>
      <c r="I201" s="131"/>
      <c r="J201" s="22"/>
    </row>
    <row r="202" spans="1:10" x14ac:dyDescent="0.25">
      <c r="A202" s="22"/>
      <c r="B202" s="22"/>
      <c r="D202" s="22"/>
      <c r="E202" s="22"/>
      <c r="F202" s="131"/>
      <c r="G202" s="131"/>
      <c r="H202" s="131"/>
      <c r="I202" s="131"/>
      <c r="J202" s="22"/>
    </row>
    <row r="203" spans="1:10" x14ac:dyDescent="0.25">
      <c r="A203" s="22"/>
      <c r="B203" s="22"/>
      <c r="D203" s="22"/>
      <c r="E203" s="22"/>
      <c r="F203" s="131"/>
      <c r="G203" s="131"/>
      <c r="H203" s="131"/>
      <c r="I203" s="131"/>
      <c r="J203" s="22"/>
    </row>
    <row r="204" spans="1:10" x14ac:dyDescent="0.25">
      <c r="A204" s="22"/>
      <c r="B204" s="22"/>
      <c r="D204" s="22"/>
      <c r="E204" s="22"/>
      <c r="F204" s="131"/>
      <c r="G204" s="131"/>
      <c r="H204" s="131"/>
      <c r="I204" s="131"/>
      <c r="J204" s="22"/>
    </row>
    <row r="205" spans="1:10" x14ac:dyDescent="0.25">
      <c r="A205" s="22"/>
      <c r="B205" s="22"/>
      <c r="D205" s="22"/>
      <c r="E205" s="22"/>
      <c r="F205" s="131"/>
      <c r="G205" s="131"/>
      <c r="H205" s="131"/>
      <c r="I205" s="131"/>
      <c r="J205" s="22"/>
    </row>
    <row r="206" spans="1:10" x14ac:dyDescent="0.25">
      <c r="A206" s="22"/>
      <c r="B206" s="22"/>
      <c r="D206" s="22"/>
      <c r="E206" s="22"/>
      <c r="F206" s="131"/>
      <c r="G206" s="131"/>
      <c r="H206" s="131"/>
      <c r="I206" s="131"/>
      <c r="J206" s="22"/>
    </row>
    <row r="207" spans="1:10" x14ac:dyDescent="0.25">
      <c r="A207" s="22"/>
      <c r="B207" s="22"/>
      <c r="D207" s="22"/>
      <c r="E207" s="22"/>
      <c r="F207" s="131"/>
      <c r="G207" s="131"/>
      <c r="H207" s="131"/>
      <c r="I207" s="131"/>
      <c r="J207" s="22"/>
    </row>
    <row r="208" spans="1:10" x14ac:dyDescent="0.25">
      <c r="A208" s="22"/>
      <c r="B208" s="22"/>
      <c r="D208" s="22"/>
      <c r="E208" s="22"/>
      <c r="F208" s="131"/>
      <c r="G208" s="131"/>
      <c r="H208" s="131"/>
      <c r="I208" s="131"/>
      <c r="J208" s="22"/>
    </row>
    <row r="209" spans="1:10" x14ac:dyDescent="0.25">
      <c r="A209" s="22"/>
      <c r="B209" s="22"/>
      <c r="D209" s="22"/>
      <c r="E209" s="22"/>
      <c r="F209" s="131"/>
      <c r="G209" s="131"/>
      <c r="H209" s="131"/>
      <c r="I209" s="131"/>
      <c r="J209" s="22"/>
    </row>
    <row r="210" spans="1:10" x14ac:dyDescent="0.25">
      <c r="A210" s="22"/>
      <c r="B210" s="22"/>
      <c r="D210" s="22"/>
      <c r="E210" s="22"/>
      <c r="F210" s="131"/>
      <c r="G210" s="131"/>
      <c r="H210" s="131"/>
      <c r="I210" s="131"/>
      <c r="J210" s="22"/>
    </row>
    <row r="211" spans="1:10" x14ac:dyDescent="0.25">
      <c r="A211" s="22"/>
      <c r="B211" s="22"/>
      <c r="D211" s="22"/>
      <c r="E211" s="22"/>
      <c r="F211" s="131"/>
      <c r="G211" s="131"/>
      <c r="H211" s="131"/>
      <c r="I211" s="131"/>
      <c r="J211" s="22"/>
    </row>
    <row r="212" spans="1:10" x14ac:dyDescent="0.25">
      <c r="A212" s="22"/>
      <c r="B212" s="22"/>
      <c r="D212" s="22"/>
      <c r="E212" s="22"/>
      <c r="F212" s="131"/>
      <c r="G212" s="131"/>
      <c r="H212" s="131"/>
      <c r="I212" s="131"/>
      <c r="J212" s="22"/>
    </row>
    <row r="213" spans="1:10" x14ac:dyDescent="0.25">
      <c r="A213" s="22"/>
      <c r="B213" s="22"/>
      <c r="D213" s="22"/>
      <c r="E213" s="22"/>
      <c r="F213" s="131"/>
      <c r="G213" s="131"/>
      <c r="H213" s="131"/>
      <c r="I213" s="131"/>
      <c r="J213" s="22"/>
    </row>
    <row r="214" spans="1:10" x14ac:dyDescent="0.25">
      <c r="A214" s="22"/>
      <c r="B214" s="22"/>
      <c r="D214" s="22"/>
      <c r="E214" s="22"/>
      <c r="F214" s="131"/>
      <c r="G214" s="131"/>
      <c r="H214" s="131"/>
      <c r="I214" s="131"/>
      <c r="J214" s="22"/>
    </row>
  </sheetData>
  <mergeCells count="12">
    <mergeCell ref="H1:J1"/>
    <mergeCell ref="H6:I6"/>
    <mergeCell ref="J6:J7"/>
    <mergeCell ref="A3:J3"/>
    <mergeCell ref="A6:A7"/>
    <mergeCell ref="B6:B7"/>
    <mergeCell ref="C6:C7"/>
    <mergeCell ref="D6:D7"/>
    <mergeCell ref="E6:E7"/>
    <mergeCell ref="F6:G6"/>
    <mergeCell ref="H5:J5"/>
    <mergeCell ref="A4:J4"/>
  </mergeCells>
  <pageMargins left="0.43307086614173201" right="0.23622047244094499" top="0.74803149606299202" bottom="0.74803149606299202" header="0.31496062992126" footer="0.31496062992126"/>
  <pageSetup paperSize="9" scale="60"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C52" sqref="C52"/>
    </sheetView>
  </sheetViews>
  <sheetFormatPr defaultRowHeight="15" x14ac:dyDescent="0.25"/>
  <cols>
    <col min="1" max="1" width="5.5703125" customWidth="1"/>
    <col min="2" max="2" width="30.5703125" customWidth="1"/>
    <col min="3" max="3" width="13.42578125" customWidth="1"/>
    <col min="4" max="4" width="12.28515625" customWidth="1"/>
    <col min="5" max="5" width="12.140625" customWidth="1"/>
    <col min="6" max="6" width="12.7109375" customWidth="1"/>
    <col min="7" max="7" width="8.28515625" customWidth="1"/>
  </cols>
  <sheetData>
    <row r="1" spans="1:7" ht="15.75" x14ac:dyDescent="0.25">
      <c r="A1" s="148"/>
      <c r="B1" s="149"/>
      <c r="C1" s="150"/>
      <c r="D1" s="151"/>
      <c r="E1" s="201" t="s">
        <v>346</v>
      </c>
      <c r="F1" s="201"/>
      <c r="G1" s="201"/>
    </row>
    <row r="2" spans="1:7" ht="15.75" x14ac:dyDescent="0.25">
      <c r="A2" s="156"/>
      <c r="B2" s="152"/>
      <c r="C2" s="153"/>
      <c r="D2" s="154"/>
      <c r="E2" s="148"/>
      <c r="F2" s="155"/>
      <c r="G2" s="155"/>
    </row>
    <row r="3" spans="1:7" ht="18.75" x14ac:dyDescent="0.25">
      <c r="A3" s="202" t="s">
        <v>347</v>
      </c>
      <c r="B3" s="202"/>
      <c r="C3" s="202"/>
      <c r="D3" s="202"/>
      <c r="E3" s="202"/>
      <c r="F3" s="202"/>
      <c r="G3" s="202"/>
    </row>
    <row r="4" spans="1:7" ht="30.75" customHeight="1" x14ac:dyDescent="0.25">
      <c r="A4" s="200" t="s">
        <v>388</v>
      </c>
      <c r="B4" s="200"/>
      <c r="C4" s="200"/>
      <c r="D4" s="200"/>
      <c r="E4" s="200"/>
      <c r="F4" s="200"/>
      <c r="G4" s="200"/>
    </row>
    <row r="5" spans="1:7" ht="23.25" customHeight="1" x14ac:dyDescent="0.25">
      <c r="A5" s="157"/>
      <c r="B5" s="158"/>
      <c r="C5" s="159"/>
      <c r="D5" s="160"/>
      <c r="E5" s="160"/>
      <c r="F5" s="203" t="s">
        <v>32</v>
      </c>
      <c r="G5" s="203"/>
    </row>
    <row r="6" spans="1:7" x14ac:dyDescent="0.25">
      <c r="A6" s="204" t="s">
        <v>348</v>
      </c>
      <c r="B6" s="205" t="s">
        <v>349</v>
      </c>
      <c r="C6" s="206" t="s">
        <v>350</v>
      </c>
      <c r="D6" s="207" t="s">
        <v>351</v>
      </c>
      <c r="E6" s="207" t="s">
        <v>352</v>
      </c>
      <c r="F6" s="204" t="s">
        <v>353</v>
      </c>
      <c r="G6" s="204" t="s">
        <v>5</v>
      </c>
    </row>
    <row r="7" spans="1:7" x14ac:dyDescent="0.25">
      <c r="A7" s="204"/>
      <c r="B7" s="205"/>
      <c r="C7" s="206"/>
      <c r="D7" s="207"/>
      <c r="E7" s="207"/>
      <c r="F7" s="204"/>
      <c r="G7" s="204"/>
    </row>
    <row r="8" spans="1:7" x14ac:dyDescent="0.25">
      <c r="A8" s="204"/>
      <c r="B8" s="205"/>
      <c r="C8" s="206"/>
      <c r="D8" s="207"/>
      <c r="E8" s="207"/>
      <c r="F8" s="204"/>
      <c r="G8" s="204"/>
    </row>
    <row r="9" spans="1:7" ht="20.100000000000001" customHeight="1" x14ac:dyDescent="0.25">
      <c r="A9" s="161">
        <v>1</v>
      </c>
      <c r="B9" s="162" t="s">
        <v>61</v>
      </c>
      <c r="C9" s="163" t="s">
        <v>63</v>
      </c>
      <c r="D9" s="162" t="s">
        <v>175</v>
      </c>
      <c r="E9" s="162" t="s">
        <v>183</v>
      </c>
      <c r="F9" s="162" t="s">
        <v>79</v>
      </c>
      <c r="G9" s="162" t="s">
        <v>186</v>
      </c>
    </row>
    <row r="10" spans="1:7" ht="20.100000000000001" customHeight="1" x14ac:dyDescent="0.25">
      <c r="A10" s="161"/>
      <c r="B10" s="164" t="s">
        <v>26</v>
      </c>
      <c r="C10" s="165">
        <f>C11+C23+C28+C35+C40+C45+C50</f>
        <v>72813.438961000007</v>
      </c>
      <c r="D10" s="165">
        <f t="shared" ref="D10:F10" si="0">D11+D23+D28+D35+D40+D45+D50</f>
        <v>65248.556951000006</v>
      </c>
      <c r="E10" s="165">
        <f t="shared" si="0"/>
        <v>65248.556951000006</v>
      </c>
      <c r="F10" s="165">
        <f t="shared" si="0"/>
        <v>65248.556951000006</v>
      </c>
      <c r="G10" s="162"/>
    </row>
    <row r="11" spans="1:7" ht="63" x14ac:dyDescent="0.25">
      <c r="A11" s="166">
        <v>1</v>
      </c>
      <c r="B11" s="167" t="s">
        <v>354</v>
      </c>
      <c r="C11" s="114">
        <f>C12+C16</f>
        <v>13765.712183</v>
      </c>
      <c r="D11" s="114">
        <f t="shared" ref="D11:F11" si="1">D12+D16</f>
        <v>9124.5032780000001</v>
      </c>
      <c r="E11" s="114">
        <f t="shared" si="1"/>
        <v>9124.5032780000001</v>
      </c>
      <c r="F11" s="114">
        <f t="shared" si="1"/>
        <v>9124.5032780000001</v>
      </c>
      <c r="G11" s="168"/>
    </row>
    <row r="12" spans="1:7" ht="39.950000000000003" customHeight="1" x14ac:dyDescent="0.25">
      <c r="A12" s="166"/>
      <c r="B12" s="169" t="s">
        <v>355</v>
      </c>
      <c r="C12" s="114">
        <f>SUM(C13:C15)</f>
        <v>10215.257493999999</v>
      </c>
      <c r="D12" s="114">
        <f t="shared" ref="D12:F12" si="2">SUM(D13:D15)</f>
        <v>6863.0619999999999</v>
      </c>
      <c r="E12" s="114">
        <f t="shared" si="2"/>
        <v>6863.0619999999999</v>
      </c>
      <c r="F12" s="114">
        <f t="shared" si="2"/>
        <v>6863.0619999999999</v>
      </c>
      <c r="G12" s="168"/>
    </row>
    <row r="13" spans="1:7" ht="39.950000000000003" customHeight="1" x14ac:dyDescent="0.25">
      <c r="A13" s="170"/>
      <c r="B13" s="171" t="s">
        <v>356</v>
      </c>
      <c r="C13" s="172">
        <v>247.242445</v>
      </c>
      <c r="D13" s="173">
        <v>247.24199999999999</v>
      </c>
      <c r="E13" s="173">
        <v>247.24199999999999</v>
      </c>
      <c r="F13" s="173">
        <v>247.24199999999999</v>
      </c>
      <c r="G13" s="168"/>
    </row>
    <row r="14" spans="1:7" ht="39.950000000000003" customHeight="1" x14ac:dyDescent="0.25">
      <c r="A14" s="174"/>
      <c r="B14" s="171" t="s">
        <v>357</v>
      </c>
      <c r="C14" s="175">
        <v>9943.4796630000001</v>
      </c>
      <c r="D14" s="176">
        <v>6599.799</v>
      </c>
      <c r="E14" s="176">
        <v>6599.799</v>
      </c>
      <c r="F14" s="176">
        <v>6599.799</v>
      </c>
      <c r="G14" s="168"/>
    </row>
    <row r="15" spans="1:7" ht="39.950000000000003" customHeight="1" x14ac:dyDescent="0.25">
      <c r="A15" s="177"/>
      <c r="B15" s="171" t="s">
        <v>358</v>
      </c>
      <c r="C15" s="178">
        <v>24.535385999999999</v>
      </c>
      <c r="D15" s="179">
        <v>16.021000000000001</v>
      </c>
      <c r="E15" s="179">
        <v>16.021000000000001</v>
      </c>
      <c r="F15" s="179">
        <v>16.021000000000001</v>
      </c>
      <c r="G15" s="168"/>
    </row>
    <row r="16" spans="1:7" ht="39.950000000000003" customHeight="1" x14ac:dyDescent="0.25">
      <c r="A16" s="166"/>
      <c r="B16" s="169" t="s">
        <v>359</v>
      </c>
      <c r="C16" s="114">
        <f>SUM(C17:C22)</f>
        <v>3550.4546890000001</v>
      </c>
      <c r="D16" s="114">
        <f t="shared" ref="D16:F16" si="3">SUM(D17:D22)</f>
        <v>2261.4412779999998</v>
      </c>
      <c r="E16" s="114">
        <f t="shared" si="3"/>
        <v>2261.4412779999998</v>
      </c>
      <c r="F16" s="114">
        <f t="shared" si="3"/>
        <v>2261.4412779999998</v>
      </c>
      <c r="G16" s="168"/>
    </row>
    <row r="17" spans="1:7" ht="39.950000000000003" customHeight="1" x14ac:dyDescent="0.25">
      <c r="A17" s="180"/>
      <c r="B17" s="171" t="s">
        <v>360</v>
      </c>
      <c r="C17" s="181">
        <v>138.62280000000001</v>
      </c>
      <c r="D17" s="182">
        <v>138.62280000000001</v>
      </c>
      <c r="E17" s="182">
        <v>138.62280000000001</v>
      </c>
      <c r="F17" s="182">
        <v>138.62280000000001</v>
      </c>
      <c r="G17" s="168"/>
    </row>
    <row r="18" spans="1:7" ht="39.950000000000003" customHeight="1" x14ac:dyDescent="0.25">
      <c r="A18" s="180"/>
      <c r="B18" s="171" t="s">
        <v>361</v>
      </c>
      <c r="C18" s="181">
        <v>12.8428</v>
      </c>
      <c r="D18" s="182">
        <v>12.8428</v>
      </c>
      <c r="E18" s="182">
        <v>12.8428</v>
      </c>
      <c r="F18" s="182">
        <v>12.8428</v>
      </c>
      <c r="G18" s="168"/>
    </row>
    <row r="19" spans="1:7" ht="39.950000000000003" customHeight="1" x14ac:dyDescent="0.25">
      <c r="A19" s="170"/>
      <c r="B19" s="171" t="s">
        <v>362</v>
      </c>
      <c r="C19" s="183">
        <v>7.6776340000000003</v>
      </c>
      <c r="D19" s="173">
        <v>7.6769999999999996</v>
      </c>
      <c r="E19" s="173">
        <v>7.6769999999999996</v>
      </c>
      <c r="F19" s="173">
        <v>7.6769999999999996</v>
      </c>
      <c r="G19" s="168"/>
    </row>
    <row r="20" spans="1:7" ht="39.950000000000003" customHeight="1" x14ac:dyDescent="0.25">
      <c r="A20" s="170"/>
      <c r="B20" s="171" t="s">
        <v>356</v>
      </c>
      <c r="C20" s="172">
        <v>84.625461999999999</v>
      </c>
      <c r="D20" s="173">
        <v>84.625</v>
      </c>
      <c r="E20" s="173">
        <v>84.625</v>
      </c>
      <c r="F20" s="173">
        <v>84.625</v>
      </c>
      <c r="G20" s="168"/>
    </row>
    <row r="21" spans="1:7" ht="39.950000000000003" customHeight="1" x14ac:dyDescent="0.25">
      <c r="A21" s="174"/>
      <c r="B21" s="171" t="s">
        <v>357</v>
      </c>
      <c r="C21" s="175">
        <v>3297.952526</v>
      </c>
      <c r="D21" s="176">
        <v>2012.3456779999999</v>
      </c>
      <c r="E21" s="176">
        <v>2012.3456779999999</v>
      </c>
      <c r="F21" s="176">
        <v>2012.3456779999999</v>
      </c>
      <c r="G21" s="168"/>
    </row>
    <row r="22" spans="1:7" ht="39.950000000000003" customHeight="1" x14ac:dyDescent="0.25">
      <c r="A22" s="177"/>
      <c r="B22" s="171" t="s">
        <v>358</v>
      </c>
      <c r="C22" s="178">
        <v>8.7334669999999992</v>
      </c>
      <c r="D22" s="179">
        <v>5.3280000000000003</v>
      </c>
      <c r="E22" s="179">
        <v>5.3280000000000003</v>
      </c>
      <c r="F22" s="179">
        <v>5.3280000000000003</v>
      </c>
      <c r="G22" s="168"/>
    </row>
    <row r="23" spans="1:7" ht="39.950000000000003" customHeight="1" x14ac:dyDescent="0.25">
      <c r="A23" s="166">
        <v>2</v>
      </c>
      <c r="B23" s="167" t="s">
        <v>155</v>
      </c>
      <c r="C23" s="184">
        <f>SUM(C24:C27)</f>
        <v>1988.8448990000002</v>
      </c>
      <c r="D23" s="184">
        <f t="shared" ref="D23:F23" si="4">SUM(D24:D27)</f>
        <v>1986.3981350000001</v>
      </c>
      <c r="E23" s="184">
        <f t="shared" si="4"/>
        <v>1986.3981350000001</v>
      </c>
      <c r="F23" s="184">
        <f t="shared" si="4"/>
        <v>1986.3981350000001</v>
      </c>
      <c r="G23" s="168"/>
    </row>
    <row r="24" spans="1:7" ht="54" customHeight="1" x14ac:dyDescent="0.25">
      <c r="A24" s="170"/>
      <c r="B24" s="171" t="s">
        <v>362</v>
      </c>
      <c r="C24" s="183">
        <v>3.9434749999999998</v>
      </c>
      <c r="D24" s="173">
        <v>3.9430000000000001</v>
      </c>
      <c r="E24" s="173">
        <v>3.9430000000000001</v>
      </c>
      <c r="F24" s="173">
        <v>3.9430000000000001</v>
      </c>
      <c r="G24" s="168"/>
    </row>
    <row r="25" spans="1:7" ht="39.950000000000003" customHeight="1" x14ac:dyDescent="0.25">
      <c r="A25" s="174"/>
      <c r="B25" s="171" t="s">
        <v>364</v>
      </c>
      <c r="C25" s="175">
        <v>1918.5499870000001</v>
      </c>
      <c r="D25" s="176">
        <v>1916.1121350000001</v>
      </c>
      <c r="E25" s="176">
        <v>1916.1121350000001</v>
      </c>
      <c r="F25" s="176">
        <v>1916.1121350000001</v>
      </c>
      <c r="G25" s="168"/>
    </row>
    <row r="26" spans="1:7" ht="39.950000000000003" customHeight="1" x14ac:dyDescent="0.25">
      <c r="A26" s="170"/>
      <c r="B26" s="171" t="s">
        <v>365</v>
      </c>
      <c r="C26" s="172">
        <v>60.842728999999999</v>
      </c>
      <c r="D26" s="173">
        <v>60.841999999999999</v>
      </c>
      <c r="E26" s="173">
        <v>60.841999999999999</v>
      </c>
      <c r="F26" s="173">
        <v>60.841999999999999</v>
      </c>
      <c r="G26" s="168"/>
    </row>
    <row r="27" spans="1:7" ht="39.950000000000003" customHeight="1" x14ac:dyDescent="0.25">
      <c r="A27" s="177"/>
      <c r="B27" s="171" t="s">
        <v>358</v>
      </c>
      <c r="C27" s="178">
        <v>5.5087080000000004</v>
      </c>
      <c r="D27" s="179">
        <v>5.5010000000000003</v>
      </c>
      <c r="E27" s="179">
        <v>5.5010000000000003</v>
      </c>
      <c r="F27" s="179">
        <v>5.5010000000000003</v>
      </c>
      <c r="G27" s="168"/>
    </row>
    <row r="28" spans="1:7" ht="39.950000000000003" customHeight="1" x14ac:dyDescent="0.25">
      <c r="A28" s="166">
        <v>3</v>
      </c>
      <c r="B28" s="167" t="s">
        <v>100</v>
      </c>
      <c r="C28" s="184">
        <f>SUM(C29:C34)</f>
        <v>12942.654786999999</v>
      </c>
      <c r="D28" s="184">
        <f t="shared" ref="D28:F28" si="5">SUM(D29:D34)</f>
        <v>12935.508226000002</v>
      </c>
      <c r="E28" s="184">
        <f t="shared" si="5"/>
        <v>12935.508226000002</v>
      </c>
      <c r="F28" s="184">
        <f t="shared" si="5"/>
        <v>12935.508226000002</v>
      </c>
      <c r="G28" s="168"/>
    </row>
    <row r="29" spans="1:7" ht="39.950000000000003" customHeight="1" x14ac:dyDescent="0.25">
      <c r="A29" s="170"/>
      <c r="B29" s="171" t="s">
        <v>384</v>
      </c>
      <c r="C29" s="183">
        <v>39.693122000000002</v>
      </c>
      <c r="D29" s="173">
        <v>39.692999999999998</v>
      </c>
      <c r="E29" s="173">
        <v>39.692999999999998</v>
      </c>
      <c r="F29" s="173">
        <v>39.692999999999998</v>
      </c>
      <c r="G29" s="168"/>
    </row>
    <row r="30" spans="1:7" ht="39.950000000000003" customHeight="1" x14ac:dyDescent="0.25">
      <c r="A30" s="170"/>
      <c r="B30" s="171" t="s">
        <v>366</v>
      </c>
      <c r="C30" s="183">
        <v>373.70778200000001</v>
      </c>
      <c r="D30" s="173">
        <v>373.70699999999999</v>
      </c>
      <c r="E30" s="173">
        <v>373.70699999999999</v>
      </c>
      <c r="F30" s="173">
        <v>373.70699999999999</v>
      </c>
      <c r="G30" s="168"/>
    </row>
    <row r="31" spans="1:7" ht="39.950000000000003" customHeight="1" x14ac:dyDescent="0.25">
      <c r="A31" s="185"/>
      <c r="B31" s="171" t="s">
        <v>367</v>
      </c>
      <c r="C31" s="186">
        <v>30.170283000000001</v>
      </c>
      <c r="D31" s="179">
        <v>30.167000000000002</v>
      </c>
      <c r="E31" s="179">
        <v>30.167000000000002</v>
      </c>
      <c r="F31" s="179">
        <v>30.167000000000002</v>
      </c>
      <c r="G31" s="168"/>
    </row>
    <row r="32" spans="1:7" ht="39.950000000000003" customHeight="1" x14ac:dyDescent="0.25">
      <c r="A32" s="174"/>
      <c r="B32" s="171" t="s">
        <v>368</v>
      </c>
      <c r="C32" s="187">
        <v>12441.127807999999</v>
      </c>
      <c r="D32" s="176">
        <v>12440.115226</v>
      </c>
      <c r="E32" s="176">
        <v>12440.115226</v>
      </c>
      <c r="F32" s="176">
        <v>12440.115226</v>
      </c>
      <c r="G32" s="168"/>
    </row>
    <row r="33" spans="1:7" ht="39.950000000000003" customHeight="1" x14ac:dyDescent="0.25">
      <c r="A33" s="180"/>
      <c r="B33" s="171" t="s">
        <v>369</v>
      </c>
      <c r="C33" s="181">
        <v>56.384</v>
      </c>
      <c r="D33" s="173">
        <v>50.798999999999999</v>
      </c>
      <c r="E33" s="173">
        <v>50.798999999999999</v>
      </c>
      <c r="F33" s="173">
        <v>50.798999999999999</v>
      </c>
      <c r="G33" s="168"/>
    </row>
    <row r="34" spans="1:7" ht="39.950000000000003" customHeight="1" x14ac:dyDescent="0.25">
      <c r="A34" s="180"/>
      <c r="B34" s="171" t="s">
        <v>370</v>
      </c>
      <c r="C34" s="181">
        <v>1.5717920000000001</v>
      </c>
      <c r="D34" s="173">
        <v>1.0269999999999999</v>
      </c>
      <c r="E34" s="173">
        <v>1.0269999999999999</v>
      </c>
      <c r="F34" s="173">
        <v>1.0269999999999999</v>
      </c>
      <c r="G34" s="168"/>
    </row>
    <row r="35" spans="1:7" ht="39.950000000000003" customHeight="1" x14ac:dyDescent="0.25">
      <c r="A35" s="166">
        <v>4</v>
      </c>
      <c r="B35" s="167" t="s">
        <v>371</v>
      </c>
      <c r="C35" s="184">
        <f>SUM(C36:C39)</f>
        <v>11254.809191</v>
      </c>
      <c r="D35" s="184">
        <f t="shared" ref="D35:F35" si="6">SUM(D36:D39)</f>
        <v>11240.343554999999</v>
      </c>
      <c r="E35" s="184">
        <f t="shared" si="6"/>
        <v>11240.343554999999</v>
      </c>
      <c r="F35" s="184">
        <f t="shared" si="6"/>
        <v>11240.343554999999</v>
      </c>
      <c r="G35" s="168"/>
    </row>
    <row r="36" spans="1:7" ht="39.950000000000003" customHeight="1" x14ac:dyDescent="0.25">
      <c r="A36" s="180"/>
      <c r="B36" s="171" t="s">
        <v>372</v>
      </c>
      <c r="C36" s="183">
        <v>14.484</v>
      </c>
      <c r="D36" s="173">
        <v>14.484</v>
      </c>
      <c r="E36" s="173">
        <v>14.484</v>
      </c>
      <c r="F36" s="173">
        <v>14.484</v>
      </c>
      <c r="G36" s="168"/>
    </row>
    <row r="37" spans="1:7" ht="39.950000000000003" customHeight="1" x14ac:dyDescent="0.25">
      <c r="A37" s="170"/>
      <c r="B37" s="171" t="s">
        <v>373</v>
      </c>
      <c r="C37" s="183">
        <v>90</v>
      </c>
      <c r="D37" s="173">
        <v>90</v>
      </c>
      <c r="E37" s="173">
        <v>90</v>
      </c>
      <c r="F37" s="173">
        <v>90</v>
      </c>
      <c r="G37" s="168"/>
    </row>
    <row r="38" spans="1:7" ht="39.950000000000003" customHeight="1" x14ac:dyDescent="0.25">
      <c r="A38" s="185"/>
      <c r="B38" s="171" t="s">
        <v>374</v>
      </c>
      <c r="C38" s="188">
        <v>16.146014000000001</v>
      </c>
      <c r="D38" s="179">
        <v>16.123000000000001</v>
      </c>
      <c r="E38" s="179">
        <v>16.123000000000001</v>
      </c>
      <c r="F38" s="179">
        <v>16.123000000000001</v>
      </c>
      <c r="G38" s="168"/>
    </row>
    <row r="39" spans="1:7" ht="39.950000000000003" customHeight="1" x14ac:dyDescent="0.25">
      <c r="A39" s="174"/>
      <c r="B39" s="171" t="s">
        <v>375</v>
      </c>
      <c r="C39" s="187">
        <v>11134.179177</v>
      </c>
      <c r="D39" s="176">
        <v>11119.736554999999</v>
      </c>
      <c r="E39" s="176">
        <v>11119.736554999999</v>
      </c>
      <c r="F39" s="176">
        <v>11119.736554999999</v>
      </c>
      <c r="G39" s="168"/>
    </row>
    <row r="40" spans="1:7" ht="39.950000000000003" customHeight="1" x14ac:dyDescent="0.25">
      <c r="A40" s="166">
        <v>5</v>
      </c>
      <c r="B40" s="167" t="s">
        <v>376</v>
      </c>
      <c r="C40" s="189">
        <f>SUM(C41:C44)</f>
        <v>300.996309</v>
      </c>
      <c r="D40" s="189">
        <f t="shared" ref="D40:F40" si="7">SUM(D41:D44)</f>
        <v>299.78148699999997</v>
      </c>
      <c r="E40" s="189">
        <f t="shared" si="7"/>
        <v>299.78148699999997</v>
      </c>
      <c r="F40" s="189">
        <f t="shared" si="7"/>
        <v>299.78148699999997</v>
      </c>
      <c r="G40" s="190"/>
    </row>
    <row r="41" spans="1:7" ht="39.950000000000003" customHeight="1" x14ac:dyDescent="0.25">
      <c r="A41" s="170"/>
      <c r="B41" s="171" t="s">
        <v>363</v>
      </c>
      <c r="C41" s="183">
        <v>7.5714069999999998</v>
      </c>
      <c r="D41" s="173">
        <v>7.5709999999999997</v>
      </c>
      <c r="E41" s="173">
        <v>7.5709999999999997</v>
      </c>
      <c r="F41" s="173">
        <v>7.5709999999999997</v>
      </c>
      <c r="G41" s="190"/>
    </row>
    <row r="42" spans="1:7" ht="39.950000000000003" customHeight="1" x14ac:dyDescent="0.25">
      <c r="A42" s="185"/>
      <c r="B42" s="171" t="s">
        <v>377</v>
      </c>
      <c r="C42" s="186">
        <v>0.69567299999999999</v>
      </c>
      <c r="D42" s="179">
        <v>0.69199999999999995</v>
      </c>
      <c r="E42" s="179">
        <v>0.69199999999999995</v>
      </c>
      <c r="F42" s="179">
        <v>0.69199999999999995</v>
      </c>
      <c r="G42" s="190"/>
    </row>
    <row r="43" spans="1:7" ht="39.950000000000003" customHeight="1" x14ac:dyDescent="0.25">
      <c r="A43" s="174"/>
      <c r="B43" s="171" t="s">
        <v>357</v>
      </c>
      <c r="C43" s="187">
        <v>286.87023399999998</v>
      </c>
      <c r="D43" s="176">
        <v>285.66048699999999</v>
      </c>
      <c r="E43" s="176">
        <v>285.66048699999999</v>
      </c>
      <c r="F43" s="176">
        <v>285.66048699999999</v>
      </c>
      <c r="G43" s="190"/>
    </row>
    <row r="44" spans="1:7" ht="39.950000000000003" customHeight="1" x14ac:dyDescent="0.25">
      <c r="A44" s="170"/>
      <c r="B44" s="171" t="s">
        <v>378</v>
      </c>
      <c r="C44" s="183">
        <v>5.8589950000000002</v>
      </c>
      <c r="D44" s="173">
        <v>5.8579999999999997</v>
      </c>
      <c r="E44" s="173">
        <v>5.8579999999999997</v>
      </c>
      <c r="F44" s="173">
        <v>5.8579999999999997</v>
      </c>
      <c r="G44" s="190"/>
    </row>
    <row r="45" spans="1:7" ht="54" customHeight="1" x14ac:dyDescent="0.25">
      <c r="A45" s="166">
        <v>6</v>
      </c>
      <c r="B45" s="167" t="s">
        <v>379</v>
      </c>
      <c r="C45" s="189">
        <f>SUM(C46:C49)</f>
        <v>294.29100399999993</v>
      </c>
      <c r="D45" s="189">
        <f t="shared" ref="D45:F45" si="8">SUM(D46:D49)</f>
        <v>293.28127000000001</v>
      </c>
      <c r="E45" s="189">
        <f t="shared" si="8"/>
        <v>293.28127000000001</v>
      </c>
      <c r="F45" s="189">
        <f t="shared" si="8"/>
        <v>293.28127000000001</v>
      </c>
      <c r="G45" s="190"/>
    </row>
    <row r="46" spans="1:7" ht="39.950000000000003" customHeight="1" x14ac:dyDescent="0.25">
      <c r="A46" s="170"/>
      <c r="B46" s="171" t="s">
        <v>363</v>
      </c>
      <c r="C46" s="183">
        <v>6.8898239999999999</v>
      </c>
      <c r="D46" s="173">
        <v>6.8890000000000002</v>
      </c>
      <c r="E46" s="173">
        <v>6.8890000000000002</v>
      </c>
      <c r="F46" s="173">
        <v>6.8890000000000002</v>
      </c>
      <c r="G46" s="190"/>
    </row>
    <row r="47" spans="1:7" ht="39.950000000000003" customHeight="1" x14ac:dyDescent="0.25">
      <c r="A47" s="185"/>
      <c r="B47" s="171" t="s">
        <v>377</v>
      </c>
      <c r="C47" s="186">
        <v>0.68369400000000002</v>
      </c>
      <c r="D47" s="179">
        <v>0.68100000000000005</v>
      </c>
      <c r="E47" s="179">
        <v>0.68100000000000005</v>
      </c>
      <c r="F47" s="179">
        <v>0.68100000000000005</v>
      </c>
      <c r="G47" s="190"/>
    </row>
    <row r="48" spans="1:7" ht="39.950000000000003" customHeight="1" x14ac:dyDescent="0.25">
      <c r="A48" s="174"/>
      <c r="B48" s="171" t="s">
        <v>357</v>
      </c>
      <c r="C48" s="187">
        <v>281.93068699999998</v>
      </c>
      <c r="D48" s="176">
        <v>280.92527000000001</v>
      </c>
      <c r="E48" s="176">
        <v>280.92527000000001</v>
      </c>
      <c r="F48" s="176">
        <v>280.92527000000001</v>
      </c>
      <c r="G48" s="190"/>
    </row>
    <row r="49" spans="1:7" ht="39.950000000000003" customHeight="1" x14ac:dyDescent="0.25">
      <c r="A49" s="170"/>
      <c r="B49" s="171" t="s">
        <v>378</v>
      </c>
      <c r="C49" s="183">
        <v>4.7867990000000002</v>
      </c>
      <c r="D49" s="173">
        <v>4.7859999999999996</v>
      </c>
      <c r="E49" s="173">
        <v>4.7859999999999996</v>
      </c>
      <c r="F49" s="173">
        <v>4.7859999999999996</v>
      </c>
      <c r="G49" s="190"/>
    </row>
    <row r="50" spans="1:7" ht="39.950000000000003" customHeight="1" x14ac:dyDescent="0.25">
      <c r="A50" s="166">
        <v>7</v>
      </c>
      <c r="B50" s="167" t="s">
        <v>389</v>
      </c>
      <c r="C50" s="189">
        <f>SUM(C51:C56)</f>
        <v>32266.130588</v>
      </c>
      <c r="D50" s="189">
        <f t="shared" ref="D50:F50" si="9">SUM(D51:D56)</f>
        <v>29368.741000000002</v>
      </c>
      <c r="E50" s="189">
        <f t="shared" si="9"/>
        <v>29368.741000000002</v>
      </c>
      <c r="F50" s="189">
        <f t="shared" si="9"/>
        <v>29368.741000000002</v>
      </c>
      <c r="G50" s="190"/>
    </row>
    <row r="51" spans="1:7" ht="39.950000000000003" customHeight="1" x14ac:dyDescent="0.25">
      <c r="A51" s="170"/>
      <c r="B51" s="171" t="s">
        <v>380</v>
      </c>
      <c r="C51" s="183">
        <v>74.241301000000007</v>
      </c>
      <c r="D51" s="173">
        <v>74.241</v>
      </c>
      <c r="E51" s="173">
        <v>74.241</v>
      </c>
      <c r="F51" s="173">
        <v>74.241</v>
      </c>
      <c r="G51" s="190"/>
    </row>
    <row r="52" spans="1:7" ht="50.1" customHeight="1" x14ac:dyDescent="0.25">
      <c r="A52" s="170"/>
      <c r="B52" s="171" t="s">
        <v>385</v>
      </c>
      <c r="C52" s="183">
        <v>88.404601</v>
      </c>
      <c r="D52" s="173">
        <v>88.403999999999996</v>
      </c>
      <c r="E52" s="173">
        <v>88.403999999999996</v>
      </c>
      <c r="F52" s="173">
        <v>88.403999999999996</v>
      </c>
      <c r="G52" s="190"/>
    </row>
    <row r="53" spans="1:7" ht="50.1" customHeight="1" x14ac:dyDescent="0.25">
      <c r="A53" s="170"/>
      <c r="B53" s="171" t="s">
        <v>386</v>
      </c>
      <c r="C53" s="183">
        <v>5.342015</v>
      </c>
      <c r="D53" s="173">
        <v>5.3419999999999996</v>
      </c>
      <c r="E53" s="173">
        <v>5.3419999999999996</v>
      </c>
      <c r="F53" s="173">
        <v>5.3419999999999996</v>
      </c>
      <c r="G53" s="190"/>
    </row>
    <row r="54" spans="1:7" ht="39.950000000000003" customHeight="1" x14ac:dyDescent="0.25">
      <c r="A54" s="170"/>
      <c r="B54" s="171" t="s">
        <v>381</v>
      </c>
      <c r="C54" s="183">
        <v>654.65867800000001</v>
      </c>
      <c r="D54" s="173">
        <v>650</v>
      </c>
      <c r="E54" s="173">
        <v>650</v>
      </c>
      <c r="F54" s="173">
        <v>650</v>
      </c>
      <c r="G54" s="190"/>
    </row>
    <row r="55" spans="1:7" ht="39.950000000000003" customHeight="1" x14ac:dyDescent="0.25">
      <c r="A55" s="185"/>
      <c r="B55" s="171" t="s">
        <v>382</v>
      </c>
      <c r="C55" s="186">
        <v>75.769561999999993</v>
      </c>
      <c r="D55" s="179">
        <v>69.822000000000003</v>
      </c>
      <c r="E55" s="179">
        <v>69.822000000000003</v>
      </c>
      <c r="F55" s="179">
        <v>69.822000000000003</v>
      </c>
      <c r="G55" s="190"/>
    </row>
    <row r="56" spans="1:7" ht="39.950000000000003" customHeight="1" x14ac:dyDescent="0.25">
      <c r="A56" s="191"/>
      <c r="B56" s="171" t="s">
        <v>383</v>
      </c>
      <c r="C56" s="192">
        <v>31367.714431</v>
      </c>
      <c r="D56" s="193">
        <v>28480.932000000001</v>
      </c>
      <c r="E56" s="193">
        <v>28480.932000000001</v>
      </c>
      <c r="F56" s="193">
        <v>28480.932000000001</v>
      </c>
      <c r="G56" s="190"/>
    </row>
  </sheetData>
  <mergeCells count="11">
    <mergeCell ref="A4:G4"/>
    <mergeCell ref="E1:G1"/>
    <mergeCell ref="A3:G3"/>
    <mergeCell ref="F5:G5"/>
    <mergeCell ref="A6:A8"/>
    <mergeCell ref="B6:B8"/>
    <mergeCell ref="C6:C8"/>
    <mergeCell ref="D6:D8"/>
    <mergeCell ref="E6:E8"/>
    <mergeCell ref="F6:F8"/>
    <mergeCell ref="G6:G8"/>
  </mergeCells>
  <pageMargins left="0.7" right="0.7" top="0.75" bottom="0.75" header="0.3" footer="0.3"/>
  <pageSetup paperSize="9" scale="9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zoomScaleNormal="100" workbookViewId="0">
      <selection activeCell="D9" sqref="D9"/>
    </sheetView>
  </sheetViews>
  <sheetFormatPr defaultRowHeight="15" x14ac:dyDescent="0.25"/>
  <cols>
    <col min="1" max="1" width="5" style="2" customWidth="1"/>
    <col min="2" max="2" width="38.42578125" style="2" customWidth="1"/>
    <col min="3" max="3" width="13.5703125" style="2" customWidth="1"/>
    <col min="4" max="4" width="13.7109375" style="2" customWidth="1"/>
    <col min="5" max="5" width="12.85546875" style="2" customWidth="1"/>
    <col min="6" max="6" width="10.28515625" style="2" customWidth="1"/>
    <col min="7" max="7" width="7.5703125" style="2" customWidth="1"/>
    <col min="8" max="16384" width="9.140625" style="2"/>
  </cols>
  <sheetData>
    <row r="1" spans="1:7" ht="15.75" x14ac:dyDescent="0.25">
      <c r="A1" s="3"/>
      <c r="E1" s="209" t="s">
        <v>20</v>
      </c>
      <c r="F1" s="209"/>
      <c r="G1" s="209"/>
    </row>
    <row r="2" spans="1:7" x14ac:dyDescent="0.25">
      <c r="A2" s="10"/>
    </row>
    <row r="3" spans="1:7" ht="18.75" x14ac:dyDescent="0.25">
      <c r="A3" s="197" t="s">
        <v>21</v>
      </c>
      <c r="B3" s="197"/>
      <c r="C3" s="197"/>
      <c r="D3" s="197"/>
      <c r="E3" s="197"/>
      <c r="F3" s="197"/>
      <c r="G3" s="197"/>
    </row>
    <row r="4" spans="1:7" ht="18.75" x14ac:dyDescent="0.25">
      <c r="A4" s="208" t="s">
        <v>142</v>
      </c>
      <c r="B4" s="208"/>
      <c r="C4" s="208"/>
      <c r="D4" s="208"/>
      <c r="E4" s="208"/>
      <c r="F4" s="208"/>
      <c r="G4" s="208"/>
    </row>
    <row r="5" spans="1:7" ht="33.75" customHeight="1" x14ac:dyDescent="0.25">
      <c r="A5" s="210" t="s">
        <v>388</v>
      </c>
      <c r="B5" s="210"/>
      <c r="C5" s="210"/>
      <c r="D5" s="210"/>
      <c r="E5" s="210"/>
      <c r="F5" s="210"/>
      <c r="G5" s="210"/>
    </row>
    <row r="6" spans="1:7" ht="26.25" customHeight="1" x14ac:dyDescent="0.25">
      <c r="E6" s="198" t="s">
        <v>1</v>
      </c>
      <c r="F6" s="198"/>
      <c r="G6" s="198"/>
    </row>
    <row r="7" spans="1:7" ht="58.5" customHeight="1" x14ac:dyDescent="0.25">
      <c r="A7" s="6" t="s">
        <v>15</v>
      </c>
      <c r="B7" s="6" t="s">
        <v>16</v>
      </c>
      <c r="C7" s="6" t="s">
        <v>22</v>
      </c>
      <c r="D7" s="6" t="s">
        <v>23</v>
      </c>
      <c r="E7" s="6" t="s">
        <v>24</v>
      </c>
      <c r="F7" s="6" t="s">
        <v>25</v>
      </c>
      <c r="G7" s="6" t="s">
        <v>5</v>
      </c>
    </row>
    <row r="8" spans="1:7" ht="24" customHeight="1" x14ac:dyDescent="0.25">
      <c r="A8" s="11">
        <v>1</v>
      </c>
      <c r="B8" s="11">
        <v>2</v>
      </c>
      <c r="C8" s="11">
        <v>3</v>
      </c>
      <c r="D8" s="11">
        <v>4</v>
      </c>
      <c r="E8" s="11">
        <v>5</v>
      </c>
      <c r="F8" s="11">
        <v>6</v>
      </c>
      <c r="G8" s="11">
        <v>7</v>
      </c>
    </row>
    <row r="9" spans="1:7" s="3" customFormat="1" ht="25.5" customHeight="1" x14ac:dyDescent="0.2">
      <c r="A9" s="21"/>
      <c r="B9" s="21" t="s">
        <v>26</v>
      </c>
      <c r="C9" s="39">
        <f>C10+C19+C29</f>
        <v>88747.928999999989</v>
      </c>
      <c r="D9" s="39">
        <f t="shared" ref="D9:F9" si="0">D10+D19+D29</f>
        <v>77687.695000000007</v>
      </c>
      <c r="E9" s="39">
        <f t="shared" si="0"/>
        <v>77667.835999999996</v>
      </c>
      <c r="F9" s="39">
        <f t="shared" si="0"/>
        <v>19.858999999999014</v>
      </c>
      <c r="G9" s="26"/>
    </row>
    <row r="10" spans="1:7" s="3" customFormat="1" ht="25.5" customHeight="1" x14ac:dyDescent="0.2">
      <c r="A10" s="33" t="s">
        <v>8</v>
      </c>
      <c r="B10" s="37" t="s">
        <v>336</v>
      </c>
      <c r="C10" s="39">
        <f>SUM(C11:C18)</f>
        <v>44301.721999999994</v>
      </c>
      <c r="D10" s="39">
        <f t="shared" ref="D10:F10" si="1">SUM(D11:D18)</f>
        <v>38180.538</v>
      </c>
      <c r="E10" s="39">
        <f t="shared" si="1"/>
        <v>38167.563999999998</v>
      </c>
      <c r="F10" s="39">
        <f t="shared" si="1"/>
        <v>12.973999999999023</v>
      </c>
      <c r="G10" s="26"/>
    </row>
    <row r="11" spans="1:7" ht="50.1" customHeight="1" x14ac:dyDescent="0.25">
      <c r="A11" s="7">
        <v>1</v>
      </c>
      <c r="B11" s="15" t="s">
        <v>143</v>
      </c>
      <c r="C11" s="34">
        <v>2492.6880000000001</v>
      </c>
      <c r="D11" s="34">
        <v>1884.4829999999999</v>
      </c>
      <c r="E11" s="34">
        <v>1882.4829999999999</v>
      </c>
      <c r="F11" s="34">
        <f>D11-E11</f>
        <v>2</v>
      </c>
      <c r="G11" s="5"/>
    </row>
    <row r="12" spans="1:7" ht="50.1" customHeight="1" x14ac:dyDescent="0.25">
      <c r="A12" s="7">
        <v>2</v>
      </c>
      <c r="B12" s="15" t="s">
        <v>144</v>
      </c>
      <c r="C12" s="34">
        <v>6499.1409999999996</v>
      </c>
      <c r="D12" s="34">
        <v>6459.09</v>
      </c>
      <c r="E12" s="34">
        <v>6459.0129999999999</v>
      </c>
      <c r="F12" s="34">
        <f t="shared" ref="F12:F33" si="2">D12-E12</f>
        <v>7.7000000000225555E-2</v>
      </c>
      <c r="G12" s="5"/>
    </row>
    <row r="13" spans="1:7" ht="30" customHeight="1" x14ac:dyDescent="0.25">
      <c r="A13" s="7">
        <v>3</v>
      </c>
      <c r="B13" s="15" t="s">
        <v>335</v>
      </c>
      <c r="C13" s="34">
        <v>6999.5810000000001</v>
      </c>
      <c r="D13" s="34">
        <v>6829.7610000000004</v>
      </c>
      <c r="E13" s="34">
        <v>6829.7610000000004</v>
      </c>
      <c r="F13" s="34">
        <f t="shared" si="2"/>
        <v>0</v>
      </c>
      <c r="G13" s="5"/>
    </row>
    <row r="14" spans="1:7" ht="30" customHeight="1" x14ac:dyDescent="0.25">
      <c r="A14" s="7">
        <v>4</v>
      </c>
      <c r="B14" s="16" t="s">
        <v>145</v>
      </c>
      <c r="C14" s="34">
        <v>6380.7830000000004</v>
      </c>
      <c r="D14" s="34">
        <v>5966.5879999999997</v>
      </c>
      <c r="E14" s="34">
        <v>5966.5879999999997</v>
      </c>
      <c r="F14" s="34">
        <f t="shared" si="2"/>
        <v>0</v>
      </c>
      <c r="G14" s="5"/>
    </row>
    <row r="15" spans="1:7" ht="41.25" customHeight="1" x14ac:dyDescent="0.25">
      <c r="A15" s="7">
        <v>5</v>
      </c>
      <c r="B15" s="16" t="s">
        <v>150</v>
      </c>
      <c r="C15" s="34">
        <v>432.40499999999997</v>
      </c>
      <c r="D15" s="34">
        <v>297.22399999999999</v>
      </c>
      <c r="E15" s="34">
        <v>296.714</v>
      </c>
      <c r="F15" s="34">
        <f t="shared" ref="F15:F18" si="3">D15-E15</f>
        <v>0.50999999999999091</v>
      </c>
      <c r="G15" s="5"/>
    </row>
    <row r="16" spans="1:7" ht="42.75" customHeight="1" x14ac:dyDescent="0.25">
      <c r="A16" s="7">
        <v>6</v>
      </c>
      <c r="B16" s="16" t="s">
        <v>151</v>
      </c>
      <c r="C16" s="34">
        <v>9598.0889999999999</v>
      </c>
      <c r="D16" s="34">
        <v>5091.6589999999997</v>
      </c>
      <c r="E16" s="34">
        <v>5081.8580000000002</v>
      </c>
      <c r="F16" s="34">
        <f t="shared" si="3"/>
        <v>9.8009999999994761</v>
      </c>
      <c r="G16" s="5"/>
    </row>
    <row r="17" spans="1:7" ht="30" customHeight="1" x14ac:dyDescent="0.25">
      <c r="A17" s="7">
        <v>7</v>
      </c>
      <c r="B17" s="16" t="s">
        <v>155</v>
      </c>
      <c r="C17" s="34">
        <v>2199.5390000000002</v>
      </c>
      <c r="D17" s="34">
        <v>2088.8440000000001</v>
      </c>
      <c r="E17" s="34">
        <v>2088.3440000000001</v>
      </c>
      <c r="F17" s="34">
        <f t="shared" si="3"/>
        <v>0.5</v>
      </c>
      <c r="G17" s="12"/>
    </row>
    <row r="18" spans="1:7" ht="30" customHeight="1" x14ac:dyDescent="0.25">
      <c r="A18" s="7">
        <v>8</v>
      </c>
      <c r="B18" s="16" t="s">
        <v>103</v>
      </c>
      <c r="C18" s="34">
        <v>9699.4959999999992</v>
      </c>
      <c r="D18" s="34">
        <v>9562.8889999999992</v>
      </c>
      <c r="E18" s="34">
        <v>9562.8029999999999</v>
      </c>
      <c r="F18" s="34">
        <f t="shared" si="3"/>
        <v>8.5999999999330612E-2</v>
      </c>
      <c r="G18" s="12"/>
    </row>
    <row r="19" spans="1:7" s="3" customFormat="1" ht="30" customHeight="1" x14ac:dyDescent="0.2">
      <c r="A19" s="33" t="s">
        <v>9</v>
      </c>
      <c r="B19" s="38" t="s">
        <v>337</v>
      </c>
      <c r="C19" s="39">
        <f>SUM(C20:C28)</f>
        <v>28753.086000000003</v>
      </c>
      <c r="D19" s="39">
        <f t="shared" ref="D19:F19" si="4">SUM(D20:D28)</f>
        <v>25673.315999999999</v>
      </c>
      <c r="E19" s="39">
        <f t="shared" si="4"/>
        <v>25673.315999999999</v>
      </c>
      <c r="F19" s="39">
        <f t="shared" si="4"/>
        <v>0</v>
      </c>
      <c r="G19" s="40"/>
    </row>
    <row r="20" spans="1:7" ht="50.1" customHeight="1" x14ac:dyDescent="0.25">
      <c r="A20" s="7">
        <v>1</v>
      </c>
      <c r="B20" s="16" t="s">
        <v>146</v>
      </c>
      <c r="C20" s="34">
        <v>798.33199999999999</v>
      </c>
      <c r="D20" s="34">
        <v>796.18200000000002</v>
      </c>
      <c r="E20" s="34">
        <v>796.18200000000002</v>
      </c>
      <c r="F20" s="34">
        <f t="shared" si="2"/>
        <v>0</v>
      </c>
      <c r="G20" s="5"/>
    </row>
    <row r="21" spans="1:7" ht="30" customHeight="1" x14ac:dyDescent="0.25">
      <c r="A21" s="7">
        <v>2</v>
      </c>
      <c r="B21" s="16" t="s">
        <v>147</v>
      </c>
      <c r="C21" s="34">
        <v>7500</v>
      </c>
      <c r="D21" s="34">
        <v>7180.8670000000002</v>
      </c>
      <c r="E21" s="34">
        <v>7180.8670000000002</v>
      </c>
      <c r="F21" s="34">
        <f t="shared" si="2"/>
        <v>0</v>
      </c>
      <c r="G21" s="5"/>
    </row>
    <row r="22" spans="1:7" ht="50.1" customHeight="1" x14ac:dyDescent="0.25">
      <c r="A22" s="7">
        <v>3</v>
      </c>
      <c r="B22" s="16" t="s">
        <v>148</v>
      </c>
      <c r="C22" s="34">
        <v>1439.9960000000001</v>
      </c>
      <c r="D22" s="34">
        <v>985.072</v>
      </c>
      <c r="E22" s="34">
        <v>985.072</v>
      </c>
      <c r="F22" s="34">
        <f t="shared" si="2"/>
        <v>0</v>
      </c>
      <c r="G22" s="5"/>
    </row>
    <row r="23" spans="1:7" ht="50.1" customHeight="1" x14ac:dyDescent="0.25">
      <c r="A23" s="7">
        <v>4</v>
      </c>
      <c r="B23" s="16" t="s">
        <v>152</v>
      </c>
      <c r="C23" s="34">
        <v>4184.93</v>
      </c>
      <c r="D23" s="34">
        <v>2262.5940000000001</v>
      </c>
      <c r="E23" s="34">
        <v>2262.5940000000001</v>
      </c>
      <c r="F23" s="34">
        <f t="shared" ref="F23" si="5">D23-E23</f>
        <v>0</v>
      </c>
      <c r="G23" s="5"/>
    </row>
    <row r="24" spans="1:7" ht="30" customHeight="1" x14ac:dyDescent="0.25">
      <c r="A24" s="7">
        <v>5</v>
      </c>
      <c r="B24" s="16" t="s">
        <v>154</v>
      </c>
      <c r="C24" s="34">
        <v>1707.931</v>
      </c>
      <c r="D24" s="34">
        <v>1617.2729999999999</v>
      </c>
      <c r="E24" s="34">
        <v>1617.2729999999999</v>
      </c>
      <c r="F24" s="34">
        <f t="shared" si="2"/>
        <v>0</v>
      </c>
      <c r="G24" s="12"/>
    </row>
    <row r="25" spans="1:7" ht="30" customHeight="1" x14ac:dyDescent="0.25">
      <c r="A25" s="7">
        <v>6</v>
      </c>
      <c r="B25" s="16" t="s">
        <v>156</v>
      </c>
      <c r="C25" s="34">
        <v>1124.479</v>
      </c>
      <c r="D25" s="34">
        <v>1108.921</v>
      </c>
      <c r="E25" s="34">
        <v>1108.921</v>
      </c>
      <c r="F25" s="34">
        <f t="shared" si="2"/>
        <v>0</v>
      </c>
      <c r="G25" s="12"/>
    </row>
    <row r="26" spans="1:7" ht="30" customHeight="1" x14ac:dyDescent="0.25">
      <c r="A26" s="7">
        <v>7</v>
      </c>
      <c r="B26" s="16" t="s">
        <v>157</v>
      </c>
      <c r="C26" s="34">
        <v>9997.5360000000001</v>
      </c>
      <c r="D26" s="34">
        <v>9770.43</v>
      </c>
      <c r="E26" s="34">
        <v>9770.43</v>
      </c>
      <c r="F26" s="34">
        <f t="shared" si="2"/>
        <v>0</v>
      </c>
      <c r="G26" s="12"/>
    </row>
    <row r="27" spans="1:7" ht="48.75" customHeight="1" x14ac:dyDescent="0.25">
      <c r="A27" s="7">
        <v>8</v>
      </c>
      <c r="B27" s="16" t="s">
        <v>158</v>
      </c>
      <c r="C27" s="34">
        <v>1499.8820000000001</v>
      </c>
      <c r="D27" s="34">
        <v>1454.4469999999999</v>
      </c>
      <c r="E27" s="34">
        <v>1454.4469999999999</v>
      </c>
      <c r="F27" s="34">
        <f t="shared" si="2"/>
        <v>0</v>
      </c>
      <c r="G27" s="12"/>
    </row>
    <row r="28" spans="1:7" ht="38.25" customHeight="1" x14ac:dyDescent="0.25">
      <c r="A28" s="7">
        <v>9</v>
      </c>
      <c r="B28" s="16" t="s">
        <v>161</v>
      </c>
      <c r="C28" s="34">
        <v>500</v>
      </c>
      <c r="D28" s="34">
        <v>497.53</v>
      </c>
      <c r="E28" s="34">
        <v>497.53</v>
      </c>
      <c r="F28" s="34">
        <f t="shared" ref="F28" si="6">D28-E28</f>
        <v>0</v>
      </c>
      <c r="G28" s="12"/>
    </row>
    <row r="29" spans="1:7" s="3" customFormat="1" ht="38.25" customHeight="1" x14ac:dyDescent="0.2">
      <c r="A29" s="33" t="s">
        <v>11</v>
      </c>
      <c r="B29" s="38" t="s">
        <v>338</v>
      </c>
      <c r="C29" s="39">
        <f>SUM(C30:C33)</f>
        <v>15693.120999999999</v>
      </c>
      <c r="D29" s="39">
        <f t="shared" ref="D29:F29" si="7">SUM(D30:D33)</f>
        <v>13833.841</v>
      </c>
      <c r="E29" s="39">
        <f t="shared" si="7"/>
        <v>13826.955999999998</v>
      </c>
      <c r="F29" s="39">
        <f t="shared" si="7"/>
        <v>6.8849999999999909</v>
      </c>
      <c r="G29" s="40"/>
    </row>
    <row r="30" spans="1:7" ht="117" customHeight="1" x14ac:dyDescent="0.25">
      <c r="A30" s="7">
        <v>1</v>
      </c>
      <c r="B30" s="16" t="s">
        <v>149</v>
      </c>
      <c r="C30" s="34">
        <v>949.88699999999994</v>
      </c>
      <c r="D30" s="34">
        <v>767.803</v>
      </c>
      <c r="E30" s="34">
        <v>766.30799999999999</v>
      </c>
      <c r="F30" s="34">
        <f t="shared" ref="F30:F31" si="8">D30-E30</f>
        <v>1.4950000000000045</v>
      </c>
      <c r="G30" s="5"/>
    </row>
    <row r="31" spans="1:7" ht="118.5" customHeight="1" x14ac:dyDescent="0.25">
      <c r="A31" s="7">
        <v>2</v>
      </c>
      <c r="B31" s="16" t="s">
        <v>153</v>
      </c>
      <c r="C31" s="34">
        <v>750.10400000000004</v>
      </c>
      <c r="D31" s="34">
        <v>712.67899999999997</v>
      </c>
      <c r="E31" s="34">
        <v>712.53899999999999</v>
      </c>
      <c r="F31" s="34">
        <f t="shared" si="8"/>
        <v>0.13999999999998636</v>
      </c>
      <c r="G31" s="5"/>
    </row>
    <row r="32" spans="1:7" ht="120" customHeight="1" x14ac:dyDescent="0.25">
      <c r="A32" s="7">
        <v>3</v>
      </c>
      <c r="B32" s="16" t="s">
        <v>159</v>
      </c>
      <c r="C32" s="34">
        <v>6160.6170000000002</v>
      </c>
      <c r="D32" s="34">
        <v>5180.8909999999996</v>
      </c>
      <c r="E32" s="34">
        <v>5178.8909999999996</v>
      </c>
      <c r="F32" s="34">
        <f t="shared" si="2"/>
        <v>2</v>
      </c>
      <c r="G32" s="12"/>
    </row>
    <row r="33" spans="1:7" ht="120" customHeight="1" x14ac:dyDescent="0.25">
      <c r="A33" s="7">
        <v>4</v>
      </c>
      <c r="B33" s="16" t="s">
        <v>160</v>
      </c>
      <c r="C33" s="34">
        <v>7832.5129999999999</v>
      </c>
      <c r="D33" s="34">
        <v>7172.4679999999998</v>
      </c>
      <c r="E33" s="34">
        <v>7169.2179999999998</v>
      </c>
      <c r="F33" s="34">
        <f t="shared" si="2"/>
        <v>3.25</v>
      </c>
      <c r="G33" s="12"/>
    </row>
  </sheetData>
  <mergeCells count="5">
    <mergeCell ref="A3:G3"/>
    <mergeCell ref="A4:G4"/>
    <mergeCell ref="E6:G6"/>
    <mergeCell ref="E1:G1"/>
    <mergeCell ref="A5:G5"/>
  </mergeCells>
  <pageMargins left="0.70866141732283472" right="0.70866141732283472" top="0.51181102362204722" bottom="0.51181102362204722" header="0.31496062992125984" footer="0.31496062992125984"/>
  <pageSetup paperSize="9" scale="85" orientation="portrait" verticalDpi="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A16" workbookViewId="0">
      <selection activeCell="E11" sqref="E11"/>
    </sheetView>
  </sheetViews>
  <sheetFormatPr defaultRowHeight="18.75" x14ac:dyDescent="0.3"/>
  <cols>
    <col min="1" max="1" width="6.5703125" style="30" customWidth="1"/>
    <col min="2" max="2" width="44.28515625" style="30" customWidth="1"/>
    <col min="3" max="3" width="18" style="30" customWidth="1"/>
    <col min="4" max="4" width="15.85546875" style="31" customWidth="1"/>
    <col min="5" max="5" width="21" style="31" customWidth="1"/>
    <col min="6" max="6" width="9.42578125" style="30" customWidth="1"/>
    <col min="7" max="7" width="16.42578125" style="30" bestFit="1" customWidth="1"/>
    <col min="8" max="253" width="9.140625" style="30"/>
    <col min="254" max="254" width="3.5703125" style="30" customWidth="1"/>
    <col min="255" max="255" width="8.7109375" style="30" customWidth="1"/>
    <col min="256" max="256" width="8.85546875" style="30" customWidth="1"/>
    <col min="257" max="257" width="7.5703125" style="30" customWidth="1"/>
    <col min="258" max="258" width="8.5703125" style="30" customWidth="1"/>
    <col min="259" max="259" width="15.5703125" style="30" customWidth="1"/>
    <col min="260" max="260" width="14.85546875" style="30" customWidth="1"/>
    <col min="261" max="261" width="16.140625" style="30" customWidth="1"/>
    <col min="262" max="262" width="11.28515625" style="30" customWidth="1"/>
    <col min="263" max="263" width="16.42578125" style="30" bestFit="1" customWidth="1"/>
    <col min="264" max="509" width="9.140625" style="30"/>
    <col min="510" max="510" width="3.5703125" style="30" customWidth="1"/>
    <col min="511" max="511" width="8.7109375" style="30" customWidth="1"/>
    <col min="512" max="512" width="8.85546875" style="30" customWidth="1"/>
    <col min="513" max="513" width="7.5703125" style="30" customWidth="1"/>
    <col min="514" max="514" width="8.5703125" style="30" customWidth="1"/>
    <col min="515" max="515" width="15.5703125" style="30" customWidth="1"/>
    <col min="516" max="516" width="14.85546875" style="30" customWidth="1"/>
    <col min="517" max="517" width="16.140625" style="30" customWidth="1"/>
    <col min="518" max="518" width="11.28515625" style="30" customWidth="1"/>
    <col min="519" max="519" width="16.42578125" style="30" bestFit="1" customWidth="1"/>
    <col min="520" max="765" width="9.140625" style="30"/>
    <col min="766" max="766" width="3.5703125" style="30" customWidth="1"/>
    <col min="767" max="767" width="8.7109375" style="30" customWidth="1"/>
    <col min="768" max="768" width="8.85546875" style="30" customWidth="1"/>
    <col min="769" max="769" width="7.5703125" style="30" customWidth="1"/>
    <col min="770" max="770" width="8.5703125" style="30" customWidth="1"/>
    <col min="771" max="771" width="15.5703125" style="30" customWidth="1"/>
    <col min="772" max="772" width="14.85546875" style="30" customWidth="1"/>
    <col min="773" max="773" width="16.140625" style="30" customWidth="1"/>
    <col min="774" max="774" width="11.28515625" style="30" customWidth="1"/>
    <col min="775" max="775" width="16.42578125" style="30" bestFit="1" customWidth="1"/>
    <col min="776" max="1021" width="9.140625" style="30"/>
    <col min="1022" max="1022" width="3.5703125" style="30" customWidth="1"/>
    <col min="1023" max="1023" width="8.7109375" style="30" customWidth="1"/>
    <col min="1024" max="1024" width="8.85546875" style="30" customWidth="1"/>
    <col min="1025" max="1025" width="7.5703125" style="30" customWidth="1"/>
    <col min="1026" max="1026" width="8.5703125" style="30" customWidth="1"/>
    <col min="1027" max="1027" width="15.5703125" style="30" customWidth="1"/>
    <col min="1028" max="1028" width="14.85546875" style="30" customWidth="1"/>
    <col min="1029" max="1029" width="16.140625" style="30" customWidth="1"/>
    <col min="1030" max="1030" width="11.28515625" style="30" customWidth="1"/>
    <col min="1031" max="1031" width="16.42578125" style="30" bestFit="1" customWidth="1"/>
    <col min="1032" max="1277" width="9.140625" style="30"/>
    <col min="1278" max="1278" width="3.5703125" style="30" customWidth="1"/>
    <col min="1279" max="1279" width="8.7109375" style="30" customWidth="1"/>
    <col min="1280" max="1280" width="8.85546875" style="30" customWidth="1"/>
    <col min="1281" max="1281" width="7.5703125" style="30" customWidth="1"/>
    <col min="1282" max="1282" width="8.5703125" style="30" customWidth="1"/>
    <col min="1283" max="1283" width="15.5703125" style="30" customWidth="1"/>
    <col min="1284" max="1284" width="14.85546875" style="30" customWidth="1"/>
    <col min="1285" max="1285" width="16.140625" style="30" customWidth="1"/>
    <col min="1286" max="1286" width="11.28515625" style="30" customWidth="1"/>
    <col min="1287" max="1287" width="16.42578125" style="30" bestFit="1" customWidth="1"/>
    <col min="1288" max="1533" width="9.140625" style="30"/>
    <col min="1534" max="1534" width="3.5703125" style="30" customWidth="1"/>
    <col min="1535" max="1535" width="8.7109375" style="30" customWidth="1"/>
    <col min="1536" max="1536" width="8.85546875" style="30" customWidth="1"/>
    <col min="1537" max="1537" width="7.5703125" style="30" customWidth="1"/>
    <col min="1538" max="1538" width="8.5703125" style="30" customWidth="1"/>
    <col min="1539" max="1539" width="15.5703125" style="30" customWidth="1"/>
    <col min="1540" max="1540" width="14.85546875" style="30" customWidth="1"/>
    <col min="1541" max="1541" width="16.140625" style="30" customWidth="1"/>
    <col min="1542" max="1542" width="11.28515625" style="30" customWidth="1"/>
    <col min="1543" max="1543" width="16.42578125" style="30" bestFit="1" customWidth="1"/>
    <col min="1544" max="1789" width="9.140625" style="30"/>
    <col min="1790" max="1790" width="3.5703125" style="30" customWidth="1"/>
    <col min="1791" max="1791" width="8.7109375" style="30" customWidth="1"/>
    <col min="1792" max="1792" width="8.85546875" style="30" customWidth="1"/>
    <col min="1793" max="1793" width="7.5703125" style="30" customWidth="1"/>
    <col min="1794" max="1794" width="8.5703125" style="30" customWidth="1"/>
    <col min="1795" max="1795" width="15.5703125" style="30" customWidth="1"/>
    <col min="1796" max="1796" width="14.85546875" style="30" customWidth="1"/>
    <col min="1797" max="1797" width="16.140625" style="30" customWidth="1"/>
    <col min="1798" max="1798" width="11.28515625" style="30" customWidth="1"/>
    <col min="1799" max="1799" width="16.42578125" style="30" bestFit="1" customWidth="1"/>
    <col min="1800" max="2045" width="9.140625" style="30"/>
    <col min="2046" max="2046" width="3.5703125" style="30" customWidth="1"/>
    <col min="2047" max="2047" width="8.7109375" style="30" customWidth="1"/>
    <col min="2048" max="2048" width="8.85546875" style="30" customWidth="1"/>
    <col min="2049" max="2049" width="7.5703125" style="30" customWidth="1"/>
    <col min="2050" max="2050" width="8.5703125" style="30" customWidth="1"/>
    <col min="2051" max="2051" width="15.5703125" style="30" customWidth="1"/>
    <col min="2052" max="2052" width="14.85546875" style="30" customWidth="1"/>
    <col min="2053" max="2053" width="16.140625" style="30" customWidth="1"/>
    <col min="2054" max="2054" width="11.28515625" style="30" customWidth="1"/>
    <col min="2055" max="2055" width="16.42578125" style="30" bestFit="1" customWidth="1"/>
    <col min="2056" max="2301" width="9.140625" style="30"/>
    <col min="2302" max="2302" width="3.5703125" style="30" customWidth="1"/>
    <col min="2303" max="2303" width="8.7109375" style="30" customWidth="1"/>
    <col min="2304" max="2304" width="8.85546875" style="30" customWidth="1"/>
    <col min="2305" max="2305" width="7.5703125" style="30" customWidth="1"/>
    <col min="2306" max="2306" width="8.5703125" style="30" customWidth="1"/>
    <col min="2307" max="2307" width="15.5703125" style="30" customWidth="1"/>
    <col min="2308" max="2308" width="14.85546875" style="30" customWidth="1"/>
    <col min="2309" max="2309" width="16.140625" style="30" customWidth="1"/>
    <col min="2310" max="2310" width="11.28515625" style="30" customWidth="1"/>
    <col min="2311" max="2311" width="16.42578125" style="30" bestFit="1" customWidth="1"/>
    <col min="2312" max="2557" width="9.140625" style="30"/>
    <col min="2558" max="2558" width="3.5703125" style="30" customWidth="1"/>
    <col min="2559" max="2559" width="8.7109375" style="30" customWidth="1"/>
    <col min="2560" max="2560" width="8.85546875" style="30" customWidth="1"/>
    <col min="2561" max="2561" width="7.5703125" style="30" customWidth="1"/>
    <col min="2562" max="2562" width="8.5703125" style="30" customWidth="1"/>
    <col min="2563" max="2563" width="15.5703125" style="30" customWidth="1"/>
    <col min="2564" max="2564" width="14.85546875" style="30" customWidth="1"/>
    <col min="2565" max="2565" width="16.140625" style="30" customWidth="1"/>
    <col min="2566" max="2566" width="11.28515625" style="30" customWidth="1"/>
    <col min="2567" max="2567" width="16.42578125" style="30" bestFit="1" customWidth="1"/>
    <col min="2568" max="2813" width="9.140625" style="30"/>
    <col min="2814" max="2814" width="3.5703125" style="30" customWidth="1"/>
    <col min="2815" max="2815" width="8.7109375" style="30" customWidth="1"/>
    <col min="2816" max="2816" width="8.85546875" style="30" customWidth="1"/>
    <col min="2817" max="2817" width="7.5703125" style="30" customWidth="1"/>
    <col min="2818" max="2818" width="8.5703125" style="30" customWidth="1"/>
    <col min="2819" max="2819" width="15.5703125" style="30" customWidth="1"/>
    <col min="2820" max="2820" width="14.85546875" style="30" customWidth="1"/>
    <col min="2821" max="2821" width="16.140625" style="30" customWidth="1"/>
    <col min="2822" max="2822" width="11.28515625" style="30" customWidth="1"/>
    <col min="2823" max="2823" width="16.42578125" style="30" bestFit="1" customWidth="1"/>
    <col min="2824" max="3069" width="9.140625" style="30"/>
    <col min="3070" max="3070" width="3.5703125" style="30" customWidth="1"/>
    <col min="3071" max="3071" width="8.7109375" style="30" customWidth="1"/>
    <col min="3072" max="3072" width="8.85546875" style="30" customWidth="1"/>
    <col min="3073" max="3073" width="7.5703125" style="30" customWidth="1"/>
    <col min="3074" max="3074" width="8.5703125" style="30" customWidth="1"/>
    <col min="3075" max="3075" width="15.5703125" style="30" customWidth="1"/>
    <col min="3076" max="3076" width="14.85546875" style="30" customWidth="1"/>
    <col min="3077" max="3077" width="16.140625" style="30" customWidth="1"/>
    <col min="3078" max="3078" width="11.28515625" style="30" customWidth="1"/>
    <col min="3079" max="3079" width="16.42578125" style="30" bestFit="1" customWidth="1"/>
    <col min="3080" max="3325" width="9.140625" style="30"/>
    <col min="3326" max="3326" width="3.5703125" style="30" customWidth="1"/>
    <col min="3327" max="3327" width="8.7109375" style="30" customWidth="1"/>
    <col min="3328" max="3328" width="8.85546875" style="30" customWidth="1"/>
    <col min="3329" max="3329" width="7.5703125" style="30" customWidth="1"/>
    <col min="3330" max="3330" width="8.5703125" style="30" customWidth="1"/>
    <col min="3331" max="3331" width="15.5703125" style="30" customWidth="1"/>
    <col min="3332" max="3332" width="14.85546875" style="30" customWidth="1"/>
    <col min="3333" max="3333" width="16.140625" style="30" customWidth="1"/>
    <col min="3334" max="3334" width="11.28515625" style="30" customWidth="1"/>
    <col min="3335" max="3335" width="16.42578125" style="30" bestFit="1" customWidth="1"/>
    <col min="3336" max="3581" width="9.140625" style="30"/>
    <col min="3582" max="3582" width="3.5703125" style="30" customWidth="1"/>
    <col min="3583" max="3583" width="8.7109375" style="30" customWidth="1"/>
    <col min="3584" max="3584" width="8.85546875" style="30" customWidth="1"/>
    <col min="3585" max="3585" width="7.5703125" style="30" customWidth="1"/>
    <col min="3586" max="3586" width="8.5703125" style="30" customWidth="1"/>
    <col min="3587" max="3587" width="15.5703125" style="30" customWidth="1"/>
    <col min="3588" max="3588" width="14.85546875" style="30" customWidth="1"/>
    <col min="3589" max="3589" width="16.140625" style="30" customWidth="1"/>
    <col min="3590" max="3590" width="11.28515625" style="30" customWidth="1"/>
    <col min="3591" max="3591" width="16.42578125" style="30" bestFit="1" customWidth="1"/>
    <col min="3592" max="3837" width="9.140625" style="30"/>
    <col min="3838" max="3838" width="3.5703125" style="30" customWidth="1"/>
    <col min="3839" max="3839" width="8.7109375" style="30" customWidth="1"/>
    <col min="3840" max="3840" width="8.85546875" style="30" customWidth="1"/>
    <col min="3841" max="3841" width="7.5703125" style="30" customWidth="1"/>
    <col min="3842" max="3842" width="8.5703125" style="30" customWidth="1"/>
    <col min="3843" max="3843" width="15.5703125" style="30" customWidth="1"/>
    <col min="3844" max="3844" width="14.85546875" style="30" customWidth="1"/>
    <col min="3845" max="3845" width="16.140625" style="30" customWidth="1"/>
    <col min="3846" max="3846" width="11.28515625" style="30" customWidth="1"/>
    <col min="3847" max="3847" width="16.42578125" style="30" bestFit="1" customWidth="1"/>
    <col min="3848" max="4093" width="9.140625" style="30"/>
    <col min="4094" max="4094" width="3.5703125" style="30" customWidth="1"/>
    <col min="4095" max="4095" width="8.7109375" style="30" customWidth="1"/>
    <col min="4096" max="4096" width="8.85546875" style="30" customWidth="1"/>
    <col min="4097" max="4097" width="7.5703125" style="30" customWidth="1"/>
    <col min="4098" max="4098" width="8.5703125" style="30" customWidth="1"/>
    <col min="4099" max="4099" width="15.5703125" style="30" customWidth="1"/>
    <col min="4100" max="4100" width="14.85546875" style="30" customWidth="1"/>
    <col min="4101" max="4101" width="16.140625" style="30" customWidth="1"/>
    <col min="4102" max="4102" width="11.28515625" style="30" customWidth="1"/>
    <col min="4103" max="4103" width="16.42578125" style="30" bestFit="1" customWidth="1"/>
    <col min="4104" max="4349" width="9.140625" style="30"/>
    <col min="4350" max="4350" width="3.5703125" style="30" customWidth="1"/>
    <col min="4351" max="4351" width="8.7109375" style="30" customWidth="1"/>
    <col min="4352" max="4352" width="8.85546875" style="30" customWidth="1"/>
    <col min="4353" max="4353" width="7.5703125" style="30" customWidth="1"/>
    <col min="4354" max="4354" width="8.5703125" style="30" customWidth="1"/>
    <col min="4355" max="4355" width="15.5703125" style="30" customWidth="1"/>
    <col min="4356" max="4356" width="14.85546875" style="30" customWidth="1"/>
    <col min="4357" max="4357" width="16.140625" style="30" customWidth="1"/>
    <col min="4358" max="4358" width="11.28515625" style="30" customWidth="1"/>
    <col min="4359" max="4359" width="16.42578125" style="30" bestFit="1" customWidth="1"/>
    <col min="4360" max="4605" width="9.140625" style="30"/>
    <col min="4606" max="4606" width="3.5703125" style="30" customWidth="1"/>
    <col min="4607" max="4607" width="8.7109375" style="30" customWidth="1"/>
    <col min="4608" max="4608" width="8.85546875" style="30" customWidth="1"/>
    <col min="4609" max="4609" width="7.5703125" style="30" customWidth="1"/>
    <col min="4610" max="4610" width="8.5703125" style="30" customWidth="1"/>
    <col min="4611" max="4611" width="15.5703125" style="30" customWidth="1"/>
    <col min="4612" max="4612" width="14.85546875" style="30" customWidth="1"/>
    <col min="4613" max="4613" width="16.140625" style="30" customWidth="1"/>
    <col min="4614" max="4614" width="11.28515625" style="30" customWidth="1"/>
    <col min="4615" max="4615" width="16.42578125" style="30" bestFit="1" customWidth="1"/>
    <col min="4616" max="4861" width="9.140625" style="30"/>
    <col min="4862" max="4862" width="3.5703125" style="30" customWidth="1"/>
    <col min="4863" max="4863" width="8.7109375" style="30" customWidth="1"/>
    <col min="4864" max="4864" width="8.85546875" style="30" customWidth="1"/>
    <col min="4865" max="4865" width="7.5703125" style="30" customWidth="1"/>
    <col min="4866" max="4866" width="8.5703125" style="30" customWidth="1"/>
    <col min="4867" max="4867" width="15.5703125" style="30" customWidth="1"/>
    <col min="4868" max="4868" width="14.85546875" style="30" customWidth="1"/>
    <col min="4869" max="4869" width="16.140625" style="30" customWidth="1"/>
    <col min="4870" max="4870" width="11.28515625" style="30" customWidth="1"/>
    <col min="4871" max="4871" width="16.42578125" style="30" bestFit="1" customWidth="1"/>
    <col min="4872" max="5117" width="9.140625" style="30"/>
    <col min="5118" max="5118" width="3.5703125" style="30" customWidth="1"/>
    <col min="5119" max="5119" width="8.7109375" style="30" customWidth="1"/>
    <col min="5120" max="5120" width="8.85546875" style="30" customWidth="1"/>
    <col min="5121" max="5121" width="7.5703125" style="30" customWidth="1"/>
    <col min="5122" max="5122" width="8.5703125" style="30" customWidth="1"/>
    <col min="5123" max="5123" width="15.5703125" style="30" customWidth="1"/>
    <col min="5124" max="5124" width="14.85546875" style="30" customWidth="1"/>
    <col min="5125" max="5125" width="16.140625" style="30" customWidth="1"/>
    <col min="5126" max="5126" width="11.28515625" style="30" customWidth="1"/>
    <col min="5127" max="5127" width="16.42578125" style="30" bestFit="1" customWidth="1"/>
    <col min="5128" max="5373" width="9.140625" style="30"/>
    <col min="5374" max="5374" width="3.5703125" style="30" customWidth="1"/>
    <col min="5375" max="5375" width="8.7109375" style="30" customWidth="1"/>
    <col min="5376" max="5376" width="8.85546875" style="30" customWidth="1"/>
    <col min="5377" max="5377" width="7.5703125" style="30" customWidth="1"/>
    <col min="5378" max="5378" width="8.5703125" style="30" customWidth="1"/>
    <col min="5379" max="5379" width="15.5703125" style="30" customWidth="1"/>
    <col min="5380" max="5380" width="14.85546875" style="30" customWidth="1"/>
    <col min="5381" max="5381" width="16.140625" style="30" customWidth="1"/>
    <col min="5382" max="5382" width="11.28515625" style="30" customWidth="1"/>
    <col min="5383" max="5383" width="16.42578125" style="30" bestFit="1" customWidth="1"/>
    <col min="5384" max="5629" width="9.140625" style="30"/>
    <col min="5630" max="5630" width="3.5703125" style="30" customWidth="1"/>
    <col min="5631" max="5631" width="8.7109375" style="30" customWidth="1"/>
    <col min="5632" max="5632" width="8.85546875" style="30" customWidth="1"/>
    <col min="5633" max="5633" width="7.5703125" style="30" customWidth="1"/>
    <col min="5634" max="5634" width="8.5703125" style="30" customWidth="1"/>
    <col min="5635" max="5635" width="15.5703125" style="30" customWidth="1"/>
    <col min="5636" max="5636" width="14.85546875" style="30" customWidth="1"/>
    <col min="5637" max="5637" width="16.140625" style="30" customWidth="1"/>
    <col min="5638" max="5638" width="11.28515625" style="30" customWidth="1"/>
    <col min="5639" max="5639" width="16.42578125" style="30" bestFit="1" customWidth="1"/>
    <col min="5640" max="5885" width="9.140625" style="30"/>
    <col min="5886" max="5886" width="3.5703125" style="30" customWidth="1"/>
    <col min="5887" max="5887" width="8.7109375" style="30" customWidth="1"/>
    <col min="5888" max="5888" width="8.85546875" style="30" customWidth="1"/>
    <col min="5889" max="5889" width="7.5703125" style="30" customWidth="1"/>
    <col min="5890" max="5890" width="8.5703125" style="30" customWidth="1"/>
    <col min="5891" max="5891" width="15.5703125" style="30" customWidth="1"/>
    <col min="5892" max="5892" width="14.85546875" style="30" customWidth="1"/>
    <col min="5893" max="5893" width="16.140625" style="30" customWidth="1"/>
    <col min="5894" max="5894" width="11.28515625" style="30" customWidth="1"/>
    <col min="5895" max="5895" width="16.42578125" style="30" bestFit="1" customWidth="1"/>
    <col min="5896" max="6141" width="9.140625" style="30"/>
    <col min="6142" max="6142" width="3.5703125" style="30" customWidth="1"/>
    <col min="6143" max="6143" width="8.7109375" style="30" customWidth="1"/>
    <col min="6144" max="6144" width="8.85546875" style="30" customWidth="1"/>
    <col min="6145" max="6145" width="7.5703125" style="30" customWidth="1"/>
    <col min="6146" max="6146" width="8.5703125" style="30" customWidth="1"/>
    <col min="6147" max="6147" width="15.5703125" style="30" customWidth="1"/>
    <col min="6148" max="6148" width="14.85546875" style="30" customWidth="1"/>
    <col min="6149" max="6149" width="16.140625" style="30" customWidth="1"/>
    <col min="6150" max="6150" width="11.28515625" style="30" customWidth="1"/>
    <col min="6151" max="6151" width="16.42578125" style="30" bestFit="1" customWidth="1"/>
    <col min="6152" max="6397" width="9.140625" style="30"/>
    <col min="6398" max="6398" width="3.5703125" style="30" customWidth="1"/>
    <col min="6399" max="6399" width="8.7109375" style="30" customWidth="1"/>
    <col min="6400" max="6400" width="8.85546875" style="30" customWidth="1"/>
    <col min="6401" max="6401" width="7.5703125" style="30" customWidth="1"/>
    <col min="6402" max="6402" width="8.5703125" style="30" customWidth="1"/>
    <col min="6403" max="6403" width="15.5703125" style="30" customWidth="1"/>
    <col min="6404" max="6404" width="14.85546875" style="30" customWidth="1"/>
    <col min="6405" max="6405" width="16.140625" style="30" customWidth="1"/>
    <col min="6406" max="6406" width="11.28515625" style="30" customWidth="1"/>
    <col min="6407" max="6407" width="16.42578125" style="30" bestFit="1" customWidth="1"/>
    <col min="6408" max="6653" width="9.140625" style="30"/>
    <col min="6654" max="6654" width="3.5703125" style="30" customWidth="1"/>
    <col min="6655" max="6655" width="8.7109375" style="30" customWidth="1"/>
    <col min="6656" max="6656" width="8.85546875" style="30" customWidth="1"/>
    <col min="6657" max="6657" width="7.5703125" style="30" customWidth="1"/>
    <col min="6658" max="6658" width="8.5703125" style="30" customWidth="1"/>
    <col min="6659" max="6659" width="15.5703125" style="30" customWidth="1"/>
    <col min="6660" max="6660" width="14.85546875" style="30" customWidth="1"/>
    <col min="6661" max="6661" width="16.140625" style="30" customWidth="1"/>
    <col min="6662" max="6662" width="11.28515625" style="30" customWidth="1"/>
    <col min="6663" max="6663" width="16.42578125" style="30" bestFit="1" customWidth="1"/>
    <col min="6664" max="6909" width="9.140625" style="30"/>
    <col min="6910" max="6910" width="3.5703125" style="30" customWidth="1"/>
    <col min="6911" max="6911" width="8.7109375" style="30" customWidth="1"/>
    <col min="6912" max="6912" width="8.85546875" style="30" customWidth="1"/>
    <col min="6913" max="6913" width="7.5703125" style="30" customWidth="1"/>
    <col min="6914" max="6914" width="8.5703125" style="30" customWidth="1"/>
    <col min="6915" max="6915" width="15.5703125" style="30" customWidth="1"/>
    <col min="6916" max="6916" width="14.85546875" style="30" customWidth="1"/>
    <col min="6917" max="6917" width="16.140625" style="30" customWidth="1"/>
    <col min="6918" max="6918" width="11.28515625" style="30" customWidth="1"/>
    <col min="6919" max="6919" width="16.42578125" style="30" bestFit="1" customWidth="1"/>
    <col min="6920" max="7165" width="9.140625" style="30"/>
    <col min="7166" max="7166" width="3.5703125" style="30" customWidth="1"/>
    <col min="7167" max="7167" width="8.7109375" style="30" customWidth="1"/>
    <col min="7168" max="7168" width="8.85546875" style="30" customWidth="1"/>
    <col min="7169" max="7169" width="7.5703125" style="30" customWidth="1"/>
    <col min="7170" max="7170" width="8.5703125" style="30" customWidth="1"/>
    <col min="7171" max="7171" width="15.5703125" style="30" customWidth="1"/>
    <col min="7172" max="7172" width="14.85546875" style="30" customWidth="1"/>
    <col min="7173" max="7173" width="16.140625" style="30" customWidth="1"/>
    <col min="7174" max="7174" width="11.28515625" style="30" customWidth="1"/>
    <col min="7175" max="7175" width="16.42578125" style="30" bestFit="1" customWidth="1"/>
    <col min="7176" max="7421" width="9.140625" style="30"/>
    <col min="7422" max="7422" width="3.5703125" style="30" customWidth="1"/>
    <col min="7423" max="7423" width="8.7109375" style="30" customWidth="1"/>
    <col min="7424" max="7424" width="8.85546875" style="30" customWidth="1"/>
    <col min="7425" max="7425" width="7.5703125" style="30" customWidth="1"/>
    <col min="7426" max="7426" width="8.5703125" style="30" customWidth="1"/>
    <col min="7427" max="7427" width="15.5703125" style="30" customWidth="1"/>
    <col min="7428" max="7428" width="14.85546875" style="30" customWidth="1"/>
    <col min="7429" max="7429" width="16.140625" style="30" customWidth="1"/>
    <col min="7430" max="7430" width="11.28515625" style="30" customWidth="1"/>
    <col min="7431" max="7431" width="16.42578125" style="30" bestFit="1" customWidth="1"/>
    <col min="7432" max="7677" width="9.140625" style="30"/>
    <col min="7678" max="7678" width="3.5703125" style="30" customWidth="1"/>
    <col min="7679" max="7679" width="8.7109375" style="30" customWidth="1"/>
    <col min="7680" max="7680" width="8.85546875" style="30" customWidth="1"/>
    <col min="7681" max="7681" width="7.5703125" style="30" customWidth="1"/>
    <col min="7682" max="7682" width="8.5703125" style="30" customWidth="1"/>
    <col min="7683" max="7683" width="15.5703125" style="30" customWidth="1"/>
    <col min="7684" max="7684" width="14.85546875" style="30" customWidth="1"/>
    <col min="7685" max="7685" width="16.140625" style="30" customWidth="1"/>
    <col min="7686" max="7686" width="11.28515625" style="30" customWidth="1"/>
    <col min="7687" max="7687" width="16.42578125" style="30" bestFit="1" customWidth="1"/>
    <col min="7688" max="7933" width="9.140625" style="30"/>
    <col min="7934" max="7934" width="3.5703125" style="30" customWidth="1"/>
    <col min="7935" max="7935" width="8.7109375" style="30" customWidth="1"/>
    <col min="7936" max="7936" width="8.85546875" style="30" customWidth="1"/>
    <col min="7937" max="7937" width="7.5703125" style="30" customWidth="1"/>
    <col min="7938" max="7938" width="8.5703125" style="30" customWidth="1"/>
    <col min="7939" max="7939" width="15.5703125" style="30" customWidth="1"/>
    <col min="7940" max="7940" width="14.85546875" style="30" customWidth="1"/>
    <col min="7941" max="7941" width="16.140625" style="30" customWidth="1"/>
    <col min="7942" max="7942" width="11.28515625" style="30" customWidth="1"/>
    <col min="7943" max="7943" width="16.42578125" style="30" bestFit="1" customWidth="1"/>
    <col min="7944" max="8189" width="9.140625" style="30"/>
    <col min="8190" max="8190" width="3.5703125" style="30" customWidth="1"/>
    <col min="8191" max="8191" width="8.7109375" style="30" customWidth="1"/>
    <col min="8192" max="8192" width="8.85546875" style="30" customWidth="1"/>
    <col min="8193" max="8193" width="7.5703125" style="30" customWidth="1"/>
    <col min="8194" max="8194" width="8.5703125" style="30" customWidth="1"/>
    <col min="8195" max="8195" width="15.5703125" style="30" customWidth="1"/>
    <col min="8196" max="8196" width="14.85546875" style="30" customWidth="1"/>
    <col min="8197" max="8197" width="16.140625" style="30" customWidth="1"/>
    <col min="8198" max="8198" width="11.28515625" style="30" customWidth="1"/>
    <col min="8199" max="8199" width="16.42578125" style="30" bestFit="1" customWidth="1"/>
    <col min="8200" max="8445" width="9.140625" style="30"/>
    <col min="8446" max="8446" width="3.5703125" style="30" customWidth="1"/>
    <col min="8447" max="8447" width="8.7109375" style="30" customWidth="1"/>
    <col min="8448" max="8448" width="8.85546875" style="30" customWidth="1"/>
    <col min="8449" max="8449" width="7.5703125" style="30" customWidth="1"/>
    <col min="8450" max="8450" width="8.5703125" style="30" customWidth="1"/>
    <col min="8451" max="8451" width="15.5703125" style="30" customWidth="1"/>
    <col min="8452" max="8452" width="14.85546875" style="30" customWidth="1"/>
    <col min="8453" max="8453" width="16.140625" style="30" customWidth="1"/>
    <col min="8454" max="8454" width="11.28515625" style="30" customWidth="1"/>
    <col min="8455" max="8455" width="16.42578125" style="30" bestFit="1" customWidth="1"/>
    <col min="8456" max="8701" width="9.140625" style="30"/>
    <col min="8702" max="8702" width="3.5703125" style="30" customWidth="1"/>
    <col min="8703" max="8703" width="8.7109375" style="30" customWidth="1"/>
    <col min="8704" max="8704" width="8.85546875" style="30" customWidth="1"/>
    <col min="8705" max="8705" width="7.5703125" style="30" customWidth="1"/>
    <col min="8706" max="8706" width="8.5703125" style="30" customWidth="1"/>
    <col min="8707" max="8707" width="15.5703125" style="30" customWidth="1"/>
    <col min="8708" max="8708" width="14.85546875" style="30" customWidth="1"/>
    <col min="8709" max="8709" width="16.140625" style="30" customWidth="1"/>
    <col min="8710" max="8710" width="11.28515625" style="30" customWidth="1"/>
    <col min="8711" max="8711" width="16.42578125" style="30" bestFit="1" customWidth="1"/>
    <col min="8712" max="8957" width="9.140625" style="30"/>
    <col min="8958" max="8958" width="3.5703125" style="30" customWidth="1"/>
    <col min="8959" max="8959" width="8.7109375" style="30" customWidth="1"/>
    <col min="8960" max="8960" width="8.85546875" style="30" customWidth="1"/>
    <col min="8961" max="8961" width="7.5703125" style="30" customWidth="1"/>
    <col min="8962" max="8962" width="8.5703125" style="30" customWidth="1"/>
    <col min="8963" max="8963" width="15.5703125" style="30" customWidth="1"/>
    <col min="8964" max="8964" width="14.85546875" style="30" customWidth="1"/>
    <col min="8965" max="8965" width="16.140625" style="30" customWidth="1"/>
    <col min="8966" max="8966" width="11.28515625" style="30" customWidth="1"/>
    <col min="8967" max="8967" width="16.42578125" style="30" bestFit="1" customWidth="1"/>
    <col min="8968" max="9213" width="9.140625" style="30"/>
    <col min="9214" max="9214" width="3.5703125" style="30" customWidth="1"/>
    <col min="9215" max="9215" width="8.7109375" style="30" customWidth="1"/>
    <col min="9216" max="9216" width="8.85546875" style="30" customWidth="1"/>
    <col min="9217" max="9217" width="7.5703125" style="30" customWidth="1"/>
    <col min="9218" max="9218" width="8.5703125" style="30" customWidth="1"/>
    <col min="9219" max="9219" width="15.5703125" style="30" customWidth="1"/>
    <col min="9220" max="9220" width="14.85546875" style="30" customWidth="1"/>
    <col min="9221" max="9221" width="16.140625" style="30" customWidth="1"/>
    <col min="9222" max="9222" width="11.28515625" style="30" customWidth="1"/>
    <col min="9223" max="9223" width="16.42578125" style="30" bestFit="1" customWidth="1"/>
    <col min="9224" max="9469" width="9.140625" style="30"/>
    <col min="9470" max="9470" width="3.5703125" style="30" customWidth="1"/>
    <col min="9471" max="9471" width="8.7109375" style="30" customWidth="1"/>
    <col min="9472" max="9472" width="8.85546875" style="30" customWidth="1"/>
    <col min="9473" max="9473" width="7.5703125" style="30" customWidth="1"/>
    <col min="9474" max="9474" width="8.5703125" style="30" customWidth="1"/>
    <col min="9475" max="9475" width="15.5703125" style="30" customWidth="1"/>
    <col min="9476" max="9476" width="14.85546875" style="30" customWidth="1"/>
    <col min="9477" max="9477" width="16.140625" style="30" customWidth="1"/>
    <col min="9478" max="9478" width="11.28515625" style="30" customWidth="1"/>
    <col min="9479" max="9479" width="16.42578125" style="30" bestFit="1" customWidth="1"/>
    <col min="9480" max="9725" width="9.140625" style="30"/>
    <col min="9726" max="9726" width="3.5703125" style="30" customWidth="1"/>
    <col min="9727" max="9727" width="8.7109375" style="30" customWidth="1"/>
    <col min="9728" max="9728" width="8.85546875" style="30" customWidth="1"/>
    <col min="9729" max="9729" width="7.5703125" style="30" customWidth="1"/>
    <col min="9730" max="9730" width="8.5703125" style="30" customWidth="1"/>
    <col min="9731" max="9731" width="15.5703125" style="30" customWidth="1"/>
    <col min="9732" max="9732" width="14.85546875" style="30" customWidth="1"/>
    <col min="9733" max="9733" width="16.140625" style="30" customWidth="1"/>
    <col min="9734" max="9734" width="11.28515625" style="30" customWidth="1"/>
    <col min="9735" max="9735" width="16.42578125" style="30" bestFit="1" customWidth="1"/>
    <col min="9736" max="9981" width="9.140625" style="30"/>
    <col min="9982" max="9982" width="3.5703125" style="30" customWidth="1"/>
    <col min="9983" max="9983" width="8.7109375" style="30" customWidth="1"/>
    <col min="9984" max="9984" width="8.85546875" style="30" customWidth="1"/>
    <col min="9985" max="9985" width="7.5703125" style="30" customWidth="1"/>
    <col min="9986" max="9986" width="8.5703125" style="30" customWidth="1"/>
    <col min="9987" max="9987" width="15.5703125" style="30" customWidth="1"/>
    <col min="9988" max="9988" width="14.85546875" style="30" customWidth="1"/>
    <col min="9989" max="9989" width="16.140625" style="30" customWidth="1"/>
    <col min="9990" max="9990" width="11.28515625" style="30" customWidth="1"/>
    <col min="9991" max="9991" width="16.42578125" style="30" bestFit="1" customWidth="1"/>
    <col min="9992" max="10237" width="9.140625" style="30"/>
    <col min="10238" max="10238" width="3.5703125" style="30" customWidth="1"/>
    <col min="10239" max="10239" width="8.7109375" style="30" customWidth="1"/>
    <col min="10240" max="10240" width="8.85546875" style="30" customWidth="1"/>
    <col min="10241" max="10241" width="7.5703125" style="30" customWidth="1"/>
    <col min="10242" max="10242" width="8.5703125" style="30" customWidth="1"/>
    <col min="10243" max="10243" width="15.5703125" style="30" customWidth="1"/>
    <col min="10244" max="10244" width="14.85546875" style="30" customWidth="1"/>
    <col min="10245" max="10245" width="16.140625" style="30" customWidth="1"/>
    <col min="10246" max="10246" width="11.28515625" style="30" customWidth="1"/>
    <col min="10247" max="10247" width="16.42578125" style="30" bestFit="1" customWidth="1"/>
    <col min="10248" max="10493" width="9.140625" style="30"/>
    <col min="10494" max="10494" width="3.5703125" style="30" customWidth="1"/>
    <col min="10495" max="10495" width="8.7109375" style="30" customWidth="1"/>
    <col min="10496" max="10496" width="8.85546875" style="30" customWidth="1"/>
    <col min="10497" max="10497" width="7.5703125" style="30" customWidth="1"/>
    <col min="10498" max="10498" width="8.5703125" style="30" customWidth="1"/>
    <col min="10499" max="10499" width="15.5703125" style="30" customWidth="1"/>
    <col min="10500" max="10500" width="14.85546875" style="30" customWidth="1"/>
    <col min="10501" max="10501" width="16.140625" style="30" customWidth="1"/>
    <col min="10502" max="10502" width="11.28515625" style="30" customWidth="1"/>
    <col min="10503" max="10503" width="16.42578125" style="30" bestFit="1" customWidth="1"/>
    <col min="10504" max="10749" width="9.140625" style="30"/>
    <col min="10750" max="10750" width="3.5703125" style="30" customWidth="1"/>
    <col min="10751" max="10751" width="8.7109375" style="30" customWidth="1"/>
    <col min="10752" max="10752" width="8.85546875" style="30" customWidth="1"/>
    <col min="10753" max="10753" width="7.5703125" style="30" customWidth="1"/>
    <col min="10754" max="10754" width="8.5703125" style="30" customWidth="1"/>
    <col min="10755" max="10755" width="15.5703125" style="30" customWidth="1"/>
    <col min="10756" max="10756" width="14.85546875" style="30" customWidth="1"/>
    <col min="10757" max="10757" width="16.140625" style="30" customWidth="1"/>
    <col min="10758" max="10758" width="11.28515625" style="30" customWidth="1"/>
    <col min="10759" max="10759" width="16.42578125" style="30" bestFit="1" customWidth="1"/>
    <col min="10760" max="11005" width="9.140625" style="30"/>
    <col min="11006" max="11006" width="3.5703125" style="30" customWidth="1"/>
    <col min="11007" max="11007" width="8.7109375" style="30" customWidth="1"/>
    <col min="11008" max="11008" width="8.85546875" style="30" customWidth="1"/>
    <col min="11009" max="11009" width="7.5703125" style="30" customWidth="1"/>
    <col min="11010" max="11010" width="8.5703125" style="30" customWidth="1"/>
    <col min="11011" max="11011" width="15.5703125" style="30" customWidth="1"/>
    <col min="11012" max="11012" width="14.85546875" style="30" customWidth="1"/>
    <col min="11013" max="11013" width="16.140625" style="30" customWidth="1"/>
    <col min="11014" max="11014" width="11.28515625" style="30" customWidth="1"/>
    <col min="11015" max="11015" width="16.42578125" style="30" bestFit="1" customWidth="1"/>
    <col min="11016" max="11261" width="9.140625" style="30"/>
    <col min="11262" max="11262" width="3.5703125" style="30" customWidth="1"/>
    <col min="11263" max="11263" width="8.7109375" style="30" customWidth="1"/>
    <col min="11264" max="11264" width="8.85546875" style="30" customWidth="1"/>
    <col min="11265" max="11265" width="7.5703125" style="30" customWidth="1"/>
    <col min="11266" max="11266" width="8.5703125" style="30" customWidth="1"/>
    <col min="11267" max="11267" width="15.5703125" style="30" customWidth="1"/>
    <col min="11268" max="11268" width="14.85546875" style="30" customWidth="1"/>
    <col min="11269" max="11269" width="16.140625" style="30" customWidth="1"/>
    <col min="11270" max="11270" width="11.28515625" style="30" customWidth="1"/>
    <col min="11271" max="11271" width="16.42578125" style="30" bestFit="1" customWidth="1"/>
    <col min="11272" max="11517" width="9.140625" style="30"/>
    <col min="11518" max="11518" width="3.5703125" style="30" customWidth="1"/>
    <col min="11519" max="11519" width="8.7109375" style="30" customWidth="1"/>
    <col min="11520" max="11520" width="8.85546875" style="30" customWidth="1"/>
    <col min="11521" max="11521" width="7.5703125" style="30" customWidth="1"/>
    <col min="11522" max="11522" width="8.5703125" style="30" customWidth="1"/>
    <col min="11523" max="11523" width="15.5703125" style="30" customWidth="1"/>
    <col min="11524" max="11524" width="14.85546875" style="30" customWidth="1"/>
    <col min="11525" max="11525" width="16.140625" style="30" customWidth="1"/>
    <col min="11526" max="11526" width="11.28515625" style="30" customWidth="1"/>
    <col min="11527" max="11527" width="16.42578125" style="30" bestFit="1" customWidth="1"/>
    <col min="11528" max="11773" width="9.140625" style="30"/>
    <col min="11774" max="11774" width="3.5703125" style="30" customWidth="1"/>
    <col min="11775" max="11775" width="8.7109375" style="30" customWidth="1"/>
    <col min="11776" max="11776" width="8.85546875" style="30" customWidth="1"/>
    <col min="11777" max="11777" width="7.5703125" style="30" customWidth="1"/>
    <col min="11778" max="11778" width="8.5703125" style="30" customWidth="1"/>
    <col min="11779" max="11779" width="15.5703125" style="30" customWidth="1"/>
    <col min="11780" max="11780" width="14.85546875" style="30" customWidth="1"/>
    <col min="11781" max="11781" width="16.140625" style="30" customWidth="1"/>
    <col min="11782" max="11782" width="11.28515625" style="30" customWidth="1"/>
    <col min="11783" max="11783" width="16.42578125" style="30" bestFit="1" customWidth="1"/>
    <col min="11784" max="12029" width="9.140625" style="30"/>
    <col min="12030" max="12030" width="3.5703125" style="30" customWidth="1"/>
    <col min="12031" max="12031" width="8.7109375" style="30" customWidth="1"/>
    <col min="12032" max="12032" width="8.85546875" style="30" customWidth="1"/>
    <col min="12033" max="12033" width="7.5703125" style="30" customWidth="1"/>
    <col min="12034" max="12034" width="8.5703125" style="30" customWidth="1"/>
    <col min="12035" max="12035" width="15.5703125" style="30" customWidth="1"/>
    <col min="12036" max="12036" width="14.85546875" style="30" customWidth="1"/>
    <col min="12037" max="12037" width="16.140625" style="30" customWidth="1"/>
    <col min="12038" max="12038" width="11.28515625" style="30" customWidth="1"/>
    <col min="12039" max="12039" width="16.42578125" style="30" bestFit="1" customWidth="1"/>
    <col min="12040" max="12285" width="9.140625" style="30"/>
    <col min="12286" max="12286" width="3.5703125" style="30" customWidth="1"/>
    <col min="12287" max="12287" width="8.7109375" style="30" customWidth="1"/>
    <col min="12288" max="12288" width="8.85546875" style="30" customWidth="1"/>
    <col min="12289" max="12289" width="7.5703125" style="30" customWidth="1"/>
    <col min="12290" max="12290" width="8.5703125" style="30" customWidth="1"/>
    <col min="12291" max="12291" width="15.5703125" style="30" customWidth="1"/>
    <col min="12292" max="12292" width="14.85546875" style="30" customWidth="1"/>
    <col min="12293" max="12293" width="16.140625" style="30" customWidth="1"/>
    <col min="12294" max="12294" width="11.28515625" style="30" customWidth="1"/>
    <col min="12295" max="12295" width="16.42578125" style="30" bestFit="1" customWidth="1"/>
    <col min="12296" max="12541" width="9.140625" style="30"/>
    <col min="12542" max="12542" width="3.5703125" style="30" customWidth="1"/>
    <col min="12543" max="12543" width="8.7109375" style="30" customWidth="1"/>
    <col min="12544" max="12544" width="8.85546875" style="30" customWidth="1"/>
    <col min="12545" max="12545" width="7.5703125" style="30" customWidth="1"/>
    <col min="12546" max="12546" width="8.5703125" style="30" customWidth="1"/>
    <col min="12547" max="12547" width="15.5703125" style="30" customWidth="1"/>
    <col min="12548" max="12548" width="14.85546875" style="30" customWidth="1"/>
    <col min="12549" max="12549" width="16.140625" style="30" customWidth="1"/>
    <col min="12550" max="12550" width="11.28515625" style="30" customWidth="1"/>
    <col min="12551" max="12551" width="16.42578125" style="30" bestFit="1" customWidth="1"/>
    <col min="12552" max="12797" width="9.140625" style="30"/>
    <col min="12798" max="12798" width="3.5703125" style="30" customWidth="1"/>
    <col min="12799" max="12799" width="8.7109375" style="30" customWidth="1"/>
    <col min="12800" max="12800" width="8.85546875" style="30" customWidth="1"/>
    <col min="12801" max="12801" width="7.5703125" style="30" customWidth="1"/>
    <col min="12802" max="12802" width="8.5703125" style="30" customWidth="1"/>
    <col min="12803" max="12803" width="15.5703125" style="30" customWidth="1"/>
    <col min="12804" max="12804" width="14.85546875" style="30" customWidth="1"/>
    <col min="12805" max="12805" width="16.140625" style="30" customWidth="1"/>
    <col min="12806" max="12806" width="11.28515625" style="30" customWidth="1"/>
    <col min="12807" max="12807" width="16.42578125" style="30" bestFit="1" customWidth="1"/>
    <col min="12808" max="13053" width="9.140625" style="30"/>
    <col min="13054" max="13054" width="3.5703125" style="30" customWidth="1"/>
    <col min="13055" max="13055" width="8.7109375" style="30" customWidth="1"/>
    <col min="13056" max="13056" width="8.85546875" style="30" customWidth="1"/>
    <col min="13057" max="13057" width="7.5703125" style="30" customWidth="1"/>
    <col min="13058" max="13058" width="8.5703125" style="30" customWidth="1"/>
    <col min="13059" max="13059" width="15.5703125" style="30" customWidth="1"/>
    <col min="13060" max="13060" width="14.85546875" style="30" customWidth="1"/>
    <col min="13061" max="13061" width="16.140625" style="30" customWidth="1"/>
    <col min="13062" max="13062" width="11.28515625" style="30" customWidth="1"/>
    <col min="13063" max="13063" width="16.42578125" style="30" bestFit="1" customWidth="1"/>
    <col min="13064" max="13309" width="9.140625" style="30"/>
    <col min="13310" max="13310" width="3.5703125" style="30" customWidth="1"/>
    <col min="13311" max="13311" width="8.7109375" style="30" customWidth="1"/>
    <col min="13312" max="13312" width="8.85546875" style="30" customWidth="1"/>
    <col min="13313" max="13313" width="7.5703125" style="30" customWidth="1"/>
    <col min="13314" max="13314" width="8.5703125" style="30" customWidth="1"/>
    <col min="13315" max="13315" width="15.5703125" style="30" customWidth="1"/>
    <col min="13316" max="13316" width="14.85546875" style="30" customWidth="1"/>
    <col min="13317" max="13317" width="16.140625" style="30" customWidth="1"/>
    <col min="13318" max="13318" width="11.28515625" style="30" customWidth="1"/>
    <col min="13319" max="13319" width="16.42578125" style="30" bestFit="1" customWidth="1"/>
    <col min="13320" max="13565" width="9.140625" style="30"/>
    <col min="13566" max="13566" width="3.5703125" style="30" customWidth="1"/>
    <col min="13567" max="13567" width="8.7109375" style="30" customWidth="1"/>
    <col min="13568" max="13568" width="8.85546875" style="30" customWidth="1"/>
    <col min="13569" max="13569" width="7.5703125" style="30" customWidth="1"/>
    <col min="13570" max="13570" width="8.5703125" style="30" customWidth="1"/>
    <col min="13571" max="13571" width="15.5703125" style="30" customWidth="1"/>
    <col min="13572" max="13572" width="14.85546875" style="30" customWidth="1"/>
    <col min="13573" max="13573" width="16.140625" style="30" customWidth="1"/>
    <col min="13574" max="13574" width="11.28515625" style="30" customWidth="1"/>
    <col min="13575" max="13575" width="16.42578125" style="30" bestFit="1" customWidth="1"/>
    <col min="13576" max="13821" width="9.140625" style="30"/>
    <col min="13822" max="13822" width="3.5703125" style="30" customWidth="1"/>
    <col min="13823" max="13823" width="8.7109375" style="30" customWidth="1"/>
    <col min="13824" max="13824" width="8.85546875" style="30" customWidth="1"/>
    <col min="13825" max="13825" width="7.5703125" style="30" customWidth="1"/>
    <col min="13826" max="13826" width="8.5703125" style="30" customWidth="1"/>
    <col min="13827" max="13827" width="15.5703125" style="30" customWidth="1"/>
    <col min="13828" max="13828" width="14.85546875" style="30" customWidth="1"/>
    <col min="13829" max="13829" width="16.140625" style="30" customWidth="1"/>
    <col min="13830" max="13830" width="11.28515625" style="30" customWidth="1"/>
    <col min="13831" max="13831" width="16.42578125" style="30" bestFit="1" customWidth="1"/>
    <col min="13832" max="14077" width="9.140625" style="30"/>
    <col min="14078" max="14078" width="3.5703125" style="30" customWidth="1"/>
    <col min="14079" max="14079" width="8.7109375" style="30" customWidth="1"/>
    <col min="14080" max="14080" width="8.85546875" style="30" customWidth="1"/>
    <col min="14081" max="14081" width="7.5703125" style="30" customWidth="1"/>
    <col min="14082" max="14082" width="8.5703125" style="30" customWidth="1"/>
    <col min="14083" max="14083" width="15.5703125" style="30" customWidth="1"/>
    <col min="14084" max="14084" width="14.85546875" style="30" customWidth="1"/>
    <col min="14085" max="14085" width="16.140625" style="30" customWidth="1"/>
    <col min="14086" max="14086" width="11.28515625" style="30" customWidth="1"/>
    <col min="14087" max="14087" width="16.42578125" style="30" bestFit="1" customWidth="1"/>
    <col min="14088" max="14333" width="9.140625" style="30"/>
    <col min="14334" max="14334" width="3.5703125" style="30" customWidth="1"/>
    <col min="14335" max="14335" width="8.7109375" style="30" customWidth="1"/>
    <col min="14336" max="14336" width="8.85546875" style="30" customWidth="1"/>
    <col min="14337" max="14337" width="7.5703125" style="30" customWidth="1"/>
    <col min="14338" max="14338" width="8.5703125" style="30" customWidth="1"/>
    <col min="14339" max="14339" width="15.5703125" style="30" customWidth="1"/>
    <col min="14340" max="14340" width="14.85546875" style="30" customWidth="1"/>
    <col min="14341" max="14341" width="16.140625" style="30" customWidth="1"/>
    <col min="14342" max="14342" width="11.28515625" style="30" customWidth="1"/>
    <col min="14343" max="14343" width="16.42578125" style="30" bestFit="1" customWidth="1"/>
    <col min="14344" max="14589" width="9.140625" style="30"/>
    <col min="14590" max="14590" width="3.5703125" style="30" customWidth="1"/>
    <col min="14591" max="14591" width="8.7109375" style="30" customWidth="1"/>
    <col min="14592" max="14592" width="8.85546875" style="30" customWidth="1"/>
    <col min="14593" max="14593" width="7.5703125" style="30" customWidth="1"/>
    <col min="14594" max="14594" width="8.5703125" style="30" customWidth="1"/>
    <col min="14595" max="14595" width="15.5703125" style="30" customWidth="1"/>
    <col min="14596" max="14596" width="14.85546875" style="30" customWidth="1"/>
    <col min="14597" max="14597" width="16.140625" style="30" customWidth="1"/>
    <col min="14598" max="14598" width="11.28515625" style="30" customWidth="1"/>
    <col min="14599" max="14599" width="16.42578125" style="30" bestFit="1" customWidth="1"/>
    <col min="14600" max="14845" width="9.140625" style="30"/>
    <col min="14846" max="14846" width="3.5703125" style="30" customWidth="1"/>
    <col min="14847" max="14847" width="8.7109375" style="30" customWidth="1"/>
    <col min="14848" max="14848" width="8.85546875" style="30" customWidth="1"/>
    <col min="14849" max="14849" width="7.5703125" style="30" customWidth="1"/>
    <col min="14850" max="14850" width="8.5703125" style="30" customWidth="1"/>
    <col min="14851" max="14851" width="15.5703125" style="30" customWidth="1"/>
    <col min="14852" max="14852" width="14.85546875" style="30" customWidth="1"/>
    <col min="14853" max="14853" width="16.140625" style="30" customWidth="1"/>
    <col min="14854" max="14854" width="11.28515625" style="30" customWidth="1"/>
    <col min="14855" max="14855" width="16.42578125" style="30" bestFit="1" customWidth="1"/>
    <col min="14856" max="15101" width="9.140625" style="30"/>
    <col min="15102" max="15102" width="3.5703125" style="30" customWidth="1"/>
    <col min="15103" max="15103" width="8.7109375" style="30" customWidth="1"/>
    <col min="15104" max="15104" width="8.85546875" style="30" customWidth="1"/>
    <col min="15105" max="15105" width="7.5703125" style="30" customWidth="1"/>
    <col min="15106" max="15106" width="8.5703125" style="30" customWidth="1"/>
    <col min="15107" max="15107" width="15.5703125" style="30" customWidth="1"/>
    <col min="15108" max="15108" width="14.85546875" style="30" customWidth="1"/>
    <col min="15109" max="15109" width="16.140625" style="30" customWidth="1"/>
    <col min="15110" max="15110" width="11.28515625" style="30" customWidth="1"/>
    <col min="15111" max="15111" width="16.42578125" style="30" bestFit="1" customWidth="1"/>
    <col min="15112" max="15357" width="9.140625" style="30"/>
    <col min="15358" max="15358" width="3.5703125" style="30" customWidth="1"/>
    <col min="15359" max="15359" width="8.7109375" style="30" customWidth="1"/>
    <col min="15360" max="15360" width="8.85546875" style="30" customWidth="1"/>
    <col min="15361" max="15361" width="7.5703125" style="30" customWidth="1"/>
    <col min="15362" max="15362" width="8.5703125" style="30" customWidth="1"/>
    <col min="15363" max="15363" width="15.5703125" style="30" customWidth="1"/>
    <col min="15364" max="15364" width="14.85546875" style="30" customWidth="1"/>
    <col min="15365" max="15365" width="16.140625" style="30" customWidth="1"/>
    <col min="15366" max="15366" width="11.28515625" style="30" customWidth="1"/>
    <col min="15367" max="15367" width="16.42578125" style="30" bestFit="1" customWidth="1"/>
    <col min="15368" max="15613" width="9.140625" style="30"/>
    <col min="15614" max="15614" width="3.5703125" style="30" customWidth="1"/>
    <col min="15615" max="15615" width="8.7109375" style="30" customWidth="1"/>
    <col min="15616" max="15616" width="8.85546875" style="30" customWidth="1"/>
    <col min="15617" max="15617" width="7.5703125" style="30" customWidth="1"/>
    <col min="15618" max="15618" width="8.5703125" style="30" customWidth="1"/>
    <col min="15619" max="15619" width="15.5703125" style="30" customWidth="1"/>
    <col min="15620" max="15620" width="14.85546875" style="30" customWidth="1"/>
    <col min="15621" max="15621" width="16.140625" style="30" customWidth="1"/>
    <col min="15622" max="15622" width="11.28515625" style="30" customWidth="1"/>
    <col min="15623" max="15623" width="16.42578125" style="30" bestFit="1" customWidth="1"/>
    <col min="15624" max="15869" width="9.140625" style="30"/>
    <col min="15870" max="15870" width="3.5703125" style="30" customWidth="1"/>
    <col min="15871" max="15871" width="8.7109375" style="30" customWidth="1"/>
    <col min="15872" max="15872" width="8.85546875" style="30" customWidth="1"/>
    <col min="15873" max="15873" width="7.5703125" style="30" customWidth="1"/>
    <col min="15874" max="15874" width="8.5703125" style="30" customWidth="1"/>
    <col min="15875" max="15875" width="15.5703125" style="30" customWidth="1"/>
    <col min="15876" max="15876" width="14.85546875" style="30" customWidth="1"/>
    <col min="15877" max="15877" width="16.140625" style="30" customWidth="1"/>
    <col min="15878" max="15878" width="11.28515625" style="30" customWidth="1"/>
    <col min="15879" max="15879" width="16.42578125" style="30" bestFit="1" customWidth="1"/>
    <col min="15880" max="16125" width="9.140625" style="30"/>
    <col min="16126" max="16126" width="3.5703125" style="30" customWidth="1"/>
    <col min="16127" max="16127" width="8.7109375" style="30" customWidth="1"/>
    <col min="16128" max="16128" width="8.85546875" style="30" customWidth="1"/>
    <col min="16129" max="16129" width="7.5703125" style="30" customWidth="1"/>
    <col min="16130" max="16130" width="8.5703125" style="30" customWidth="1"/>
    <col min="16131" max="16131" width="15.5703125" style="30" customWidth="1"/>
    <col min="16132" max="16132" width="14.85546875" style="30" customWidth="1"/>
    <col min="16133" max="16133" width="16.140625" style="30" customWidth="1"/>
    <col min="16134" max="16134" width="11.28515625" style="30" customWidth="1"/>
    <col min="16135" max="16135" width="16.42578125" style="30" bestFit="1" customWidth="1"/>
    <col min="16136" max="16384" width="9.140625" style="30"/>
  </cols>
  <sheetData>
    <row r="1" spans="1:7" ht="23.25" customHeight="1" x14ac:dyDescent="0.3">
      <c r="D1" s="211" t="s">
        <v>31</v>
      </c>
      <c r="E1" s="211"/>
      <c r="F1" s="211"/>
    </row>
    <row r="2" spans="1:7" s="17" customFormat="1" x14ac:dyDescent="0.3">
      <c r="A2" s="212"/>
      <c r="B2" s="212"/>
      <c r="C2" s="212"/>
      <c r="D2" s="212"/>
      <c r="E2" s="212"/>
      <c r="F2" s="212"/>
    </row>
    <row r="3" spans="1:7" ht="26.25" customHeight="1" x14ac:dyDescent="0.3">
      <c r="A3" s="212" t="s">
        <v>41</v>
      </c>
      <c r="B3" s="212"/>
      <c r="C3" s="212"/>
      <c r="D3" s="212"/>
      <c r="E3" s="212"/>
      <c r="F3" s="212"/>
      <c r="G3" s="17"/>
    </row>
    <row r="4" spans="1:7" ht="22.5" customHeight="1" x14ac:dyDescent="0.3">
      <c r="A4" s="212" t="s">
        <v>110</v>
      </c>
      <c r="B4" s="212"/>
      <c r="C4" s="212"/>
      <c r="D4" s="212"/>
      <c r="E4" s="212"/>
      <c r="F4" s="212"/>
      <c r="G4" s="17"/>
    </row>
    <row r="5" spans="1:7" x14ac:dyDescent="0.3">
      <c r="A5" s="214" t="s">
        <v>387</v>
      </c>
      <c r="B5" s="214"/>
      <c r="C5" s="214"/>
      <c r="D5" s="214"/>
      <c r="E5" s="214"/>
      <c r="F5" s="214"/>
      <c r="G5" s="17"/>
    </row>
    <row r="6" spans="1:7" ht="26.25" customHeight="1" x14ac:dyDescent="0.3">
      <c r="A6" s="17"/>
      <c r="B6" s="17"/>
      <c r="C6" s="17"/>
      <c r="D6" s="32"/>
      <c r="E6" s="213" t="s">
        <v>32</v>
      </c>
      <c r="F6" s="213"/>
      <c r="G6" s="17"/>
    </row>
    <row r="7" spans="1:7" ht="47.25" customHeight="1" x14ac:dyDescent="0.3">
      <c r="A7" s="41" t="s">
        <v>15</v>
      </c>
      <c r="B7" s="42" t="s">
        <v>33</v>
      </c>
      <c r="C7" s="43" t="s">
        <v>34</v>
      </c>
      <c r="D7" s="44" t="s">
        <v>35</v>
      </c>
      <c r="E7" s="42" t="s">
        <v>36</v>
      </c>
      <c r="F7" s="42" t="s">
        <v>5</v>
      </c>
      <c r="G7" s="17"/>
    </row>
    <row r="8" spans="1:7" ht="30" customHeight="1" x14ac:dyDescent="0.3">
      <c r="A8" s="45">
        <v>1</v>
      </c>
      <c r="B8" s="46">
        <v>2</v>
      </c>
      <c r="C8" s="47">
        <v>3</v>
      </c>
      <c r="D8" s="44">
        <v>4</v>
      </c>
      <c r="E8" s="48">
        <v>5</v>
      </c>
      <c r="F8" s="48">
        <v>6</v>
      </c>
      <c r="G8" s="17"/>
    </row>
    <row r="9" spans="1:7" ht="30" customHeight="1" x14ac:dyDescent="0.3">
      <c r="A9" s="49"/>
      <c r="B9" s="49" t="s">
        <v>60</v>
      </c>
      <c r="C9" s="50">
        <f>C10+C72+C75+C88</f>
        <v>230107.2</v>
      </c>
      <c r="D9" s="50">
        <f>D10+D72+D75+D88</f>
        <v>230107.2</v>
      </c>
      <c r="E9" s="51"/>
      <c r="F9" s="52"/>
      <c r="G9" s="18"/>
    </row>
    <row r="10" spans="1:7" ht="30" customHeight="1" x14ac:dyDescent="0.3">
      <c r="A10" s="53" t="s">
        <v>12</v>
      </c>
      <c r="B10" s="54" t="s">
        <v>111</v>
      </c>
      <c r="C10" s="55">
        <f>C11+C24</f>
        <v>210964</v>
      </c>
      <c r="D10" s="55">
        <f>D11+D24</f>
        <v>210964</v>
      </c>
      <c r="E10" s="56"/>
      <c r="F10" s="57"/>
      <c r="G10" s="18"/>
    </row>
    <row r="11" spans="1:7" ht="50.1" customHeight="1" x14ac:dyDescent="0.3">
      <c r="A11" s="58" t="s">
        <v>46</v>
      </c>
      <c r="B11" s="59" t="s">
        <v>112</v>
      </c>
      <c r="C11" s="55">
        <f>C12+C13</f>
        <v>10964</v>
      </c>
      <c r="D11" s="55">
        <f>D12+D13</f>
        <v>10964</v>
      </c>
      <c r="E11" s="56"/>
      <c r="F11" s="57"/>
      <c r="G11" s="18"/>
    </row>
    <row r="12" spans="1:7" ht="30" customHeight="1" x14ac:dyDescent="0.3">
      <c r="A12" s="58" t="s">
        <v>48</v>
      </c>
      <c r="B12" s="59" t="s">
        <v>10</v>
      </c>
      <c r="C12" s="55">
        <v>1000</v>
      </c>
      <c r="D12" s="55">
        <v>1000</v>
      </c>
      <c r="E12" s="56"/>
      <c r="F12" s="60"/>
      <c r="G12" s="18"/>
    </row>
    <row r="13" spans="1:7" ht="30" customHeight="1" x14ac:dyDescent="0.3">
      <c r="A13" s="58" t="s">
        <v>49</v>
      </c>
      <c r="B13" s="59" t="s">
        <v>29</v>
      </c>
      <c r="C13" s="55">
        <f>C14+C19</f>
        <v>9964</v>
      </c>
      <c r="D13" s="55">
        <f>D14+D19</f>
        <v>9964</v>
      </c>
      <c r="E13" s="56"/>
      <c r="F13" s="60"/>
      <c r="G13" s="18"/>
    </row>
    <row r="14" spans="1:7" ht="30" customHeight="1" x14ac:dyDescent="0.3">
      <c r="A14" s="58" t="s">
        <v>8</v>
      </c>
      <c r="B14" s="59" t="s">
        <v>42</v>
      </c>
      <c r="C14" s="55">
        <f>C15</f>
        <v>7464</v>
      </c>
      <c r="D14" s="55">
        <f>D15</f>
        <v>7464</v>
      </c>
      <c r="E14" s="56"/>
      <c r="F14" s="60"/>
      <c r="G14" s="18"/>
    </row>
    <row r="15" spans="1:7" ht="30" customHeight="1" x14ac:dyDescent="0.3">
      <c r="A15" s="58"/>
      <c r="B15" s="59" t="s">
        <v>43</v>
      </c>
      <c r="C15" s="55">
        <f>SUM(C16:C18)</f>
        <v>7464</v>
      </c>
      <c r="D15" s="55">
        <f>SUM(D16:D18)</f>
        <v>7464</v>
      </c>
      <c r="E15" s="56"/>
      <c r="F15" s="60"/>
      <c r="G15" s="18"/>
    </row>
    <row r="16" spans="1:7" ht="50.1" customHeight="1" x14ac:dyDescent="0.3">
      <c r="A16" s="61">
        <v>1</v>
      </c>
      <c r="B16" s="62" t="s">
        <v>62</v>
      </c>
      <c r="C16" s="63">
        <v>3784</v>
      </c>
      <c r="D16" s="63">
        <v>3784</v>
      </c>
      <c r="E16" s="64" t="s">
        <v>85</v>
      </c>
      <c r="F16" s="60"/>
      <c r="G16" s="18"/>
    </row>
    <row r="17" spans="1:7" ht="60" customHeight="1" x14ac:dyDescent="0.3">
      <c r="A17" s="61">
        <v>2</v>
      </c>
      <c r="B17" s="65" t="s">
        <v>139</v>
      </c>
      <c r="C17" s="63">
        <v>2500</v>
      </c>
      <c r="D17" s="63">
        <v>2500</v>
      </c>
      <c r="E17" s="64" t="s">
        <v>85</v>
      </c>
      <c r="F17" s="60"/>
      <c r="G17" s="18"/>
    </row>
    <row r="18" spans="1:7" ht="50.1" customHeight="1" x14ac:dyDescent="0.3">
      <c r="A18" s="61">
        <v>3</v>
      </c>
      <c r="B18" s="62" t="s">
        <v>65</v>
      </c>
      <c r="C18" s="63">
        <v>1180</v>
      </c>
      <c r="D18" s="63">
        <v>1180</v>
      </c>
      <c r="E18" s="64" t="s">
        <v>85</v>
      </c>
      <c r="F18" s="60"/>
      <c r="G18" s="18"/>
    </row>
    <row r="19" spans="1:7" ht="30" customHeight="1" x14ac:dyDescent="0.3">
      <c r="A19" s="66" t="s">
        <v>9</v>
      </c>
      <c r="B19" s="67" t="s">
        <v>44</v>
      </c>
      <c r="C19" s="55">
        <f>C20+C22</f>
        <v>2500</v>
      </c>
      <c r="D19" s="55">
        <f>D20+D22</f>
        <v>2500</v>
      </c>
      <c r="E19" s="56"/>
      <c r="F19" s="60"/>
      <c r="G19" s="18"/>
    </row>
    <row r="20" spans="1:7" ht="30" customHeight="1" x14ac:dyDescent="0.3">
      <c r="A20" s="66" t="s">
        <v>17</v>
      </c>
      <c r="B20" s="67" t="s">
        <v>101</v>
      </c>
      <c r="C20" s="55">
        <f>C21</f>
        <v>500</v>
      </c>
      <c r="D20" s="55">
        <f>D21</f>
        <v>500</v>
      </c>
      <c r="E20" s="56"/>
      <c r="F20" s="60"/>
      <c r="G20" s="18"/>
    </row>
    <row r="21" spans="1:7" ht="50.1" customHeight="1" x14ac:dyDescent="0.3">
      <c r="A21" s="61">
        <v>1</v>
      </c>
      <c r="B21" s="62" t="s">
        <v>113</v>
      </c>
      <c r="C21" s="63">
        <v>500</v>
      </c>
      <c r="D21" s="63">
        <v>500</v>
      </c>
      <c r="E21" s="64" t="s">
        <v>137</v>
      </c>
      <c r="F21" s="60"/>
      <c r="G21" s="18"/>
    </row>
    <row r="22" spans="1:7" ht="30" customHeight="1" x14ac:dyDescent="0.3">
      <c r="A22" s="66" t="s">
        <v>18</v>
      </c>
      <c r="B22" s="67" t="s">
        <v>114</v>
      </c>
      <c r="C22" s="55">
        <f>C23</f>
        <v>2000</v>
      </c>
      <c r="D22" s="55">
        <f>D23</f>
        <v>2000</v>
      </c>
      <c r="E22" s="56"/>
      <c r="F22" s="60"/>
      <c r="G22" s="18"/>
    </row>
    <row r="23" spans="1:7" ht="60" customHeight="1" x14ac:dyDescent="0.3">
      <c r="A23" s="61">
        <v>1</v>
      </c>
      <c r="B23" s="62" t="s">
        <v>115</v>
      </c>
      <c r="C23" s="63">
        <v>2000</v>
      </c>
      <c r="D23" s="63">
        <v>2000</v>
      </c>
      <c r="E23" s="64" t="s">
        <v>140</v>
      </c>
      <c r="F23" s="60"/>
      <c r="G23" s="18"/>
    </row>
    <row r="24" spans="1:7" ht="30" customHeight="1" x14ac:dyDescent="0.3">
      <c r="A24" s="53" t="s">
        <v>47</v>
      </c>
      <c r="B24" s="68" t="s">
        <v>116</v>
      </c>
      <c r="C24" s="55">
        <f>C25+C53+C71</f>
        <v>200000</v>
      </c>
      <c r="D24" s="55">
        <f>D25+D53+D71</f>
        <v>200000</v>
      </c>
      <c r="E24" s="56"/>
      <c r="F24" s="60"/>
      <c r="G24" s="18"/>
    </row>
    <row r="25" spans="1:7" ht="30" customHeight="1" x14ac:dyDescent="0.3">
      <c r="A25" s="53" t="s">
        <v>8</v>
      </c>
      <c r="B25" s="59" t="s">
        <v>42</v>
      </c>
      <c r="C25" s="55">
        <f>C26+C34+C36+C38+C40</f>
        <v>155000</v>
      </c>
      <c r="D25" s="55">
        <f>D26+D34+D36+D38+D40</f>
        <v>155000</v>
      </c>
      <c r="E25" s="56"/>
      <c r="F25" s="60"/>
      <c r="G25" s="18"/>
    </row>
    <row r="26" spans="1:7" ht="30" customHeight="1" x14ac:dyDescent="0.3">
      <c r="A26" s="58" t="s">
        <v>117</v>
      </c>
      <c r="B26" s="59" t="s">
        <v>43</v>
      </c>
      <c r="C26" s="55">
        <f>SUM(C27:C33)</f>
        <v>47575</v>
      </c>
      <c r="D26" s="55">
        <f>SUM(D27:D33)</f>
        <v>47575</v>
      </c>
      <c r="E26" s="56"/>
      <c r="F26" s="57"/>
      <c r="G26" s="18"/>
    </row>
    <row r="27" spans="1:7" ht="50.1" customHeight="1" x14ac:dyDescent="0.3">
      <c r="A27" s="69">
        <v>1</v>
      </c>
      <c r="B27" s="62" t="s">
        <v>30</v>
      </c>
      <c r="C27" s="63">
        <v>3600</v>
      </c>
      <c r="D27" s="63">
        <v>3600</v>
      </c>
      <c r="E27" s="64" t="s">
        <v>85</v>
      </c>
      <c r="F27" s="60"/>
      <c r="G27" s="17"/>
    </row>
    <row r="28" spans="1:7" ht="60" customHeight="1" x14ac:dyDescent="0.3">
      <c r="A28" s="69">
        <v>2</v>
      </c>
      <c r="B28" s="62" t="s">
        <v>66</v>
      </c>
      <c r="C28" s="63">
        <v>2000</v>
      </c>
      <c r="D28" s="63">
        <v>2000</v>
      </c>
      <c r="E28" s="64" t="s">
        <v>85</v>
      </c>
      <c r="F28" s="57"/>
      <c r="G28" s="19"/>
    </row>
    <row r="29" spans="1:7" ht="50.1" customHeight="1" x14ac:dyDescent="0.3">
      <c r="A29" s="69">
        <v>3</v>
      </c>
      <c r="B29" s="70" t="s">
        <v>50</v>
      </c>
      <c r="C29" s="63">
        <v>25900</v>
      </c>
      <c r="D29" s="63">
        <v>25900</v>
      </c>
      <c r="E29" s="64" t="s">
        <v>85</v>
      </c>
      <c r="F29" s="60"/>
      <c r="G29" s="19"/>
    </row>
    <row r="30" spans="1:7" ht="50.1" customHeight="1" x14ac:dyDescent="0.3">
      <c r="A30" s="69">
        <v>4</v>
      </c>
      <c r="B30" s="62" t="s">
        <v>62</v>
      </c>
      <c r="C30" s="63">
        <v>5700</v>
      </c>
      <c r="D30" s="63">
        <v>5700</v>
      </c>
      <c r="E30" s="64" t="s">
        <v>85</v>
      </c>
      <c r="F30" s="60"/>
      <c r="G30" s="19"/>
    </row>
    <row r="31" spans="1:7" ht="60" customHeight="1" x14ac:dyDescent="0.3">
      <c r="A31" s="69">
        <v>5</v>
      </c>
      <c r="B31" s="71" t="s">
        <v>56</v>
      </c>
      <c r="C31" s="63">
        <v>7875</v>
      </c>
      <c r="D31" s="63">
        <v>7875</v>
      </c>
      <c r="E31" s="64" t="s">
        <v>85</v>
      </c>
      <c r="F31" s="57"/>
      <c r="G31" s="19"/>
    </row>
    <row r="32" spans="1:7" ht="50.1" customHeight="1" x14ac:dyDescent="0.3">
      <c r="A32" s="69">
        <v>6</v>
      </c>
      <c r="B32" s="71" t="s">
        <v>65</v>
      </c>
      <c r="C32" s="63">
        <v>1000</v>
      </c>
      <c r="D32" s="63">
        <v>1000</v>
      </c>
      <c r="E32" s="64" t="s">
        <v>85</v>
      </c>
      <c r="F32" s="60"/>
      <c r="G32" s="19"/>
    </row>
    <row r="33" spans="1:9" ht="60" customHeight="1" x14ac:dyDescent="0.3">
      <c r="A33" s="69">
        <v>7</v>
      </c>
      <c r="B33" s="65" t="s">
        <v>64</v>
      </c>
      <c r="C33" s="63">
        <v>1500</v>
      </c>
      <c r="D33" s="63">
        <v>1500</v>
      </c>
      <c r="E33" s="64" t="s">
        <v>85</v>
      </c>
      <c r="F33" s="60"/>
      <c r="G33" s="19"/>
    </row>
    <row r="34" spans="1:9" ht="30" customHeight="1" x14ac:dyDescent="0.3">
      <c r="A34" s="72" t="s">
        <v>118</v>
      </c>
      <c r="B34" s="73" t="s">
        <v>52</v>
      </c>
      <c r="C34" s="55">
        <f>SUM(C35:C35)</f>
        <v>5000</v>
      </c>
      <c r="D34" s="55">
        <f>SUM(D35:D35)</f>
        <v>5000</v>
      </c>
      <c r="E34" s="56"/>
      <c r="F34" s="60"/>
      <c r="G34" s="19"/>
    </row>
    <row r="35" spans="1:9" ht="50.1" customHeight="1" x14ac:dyDescent="0.3">
      <c r="A35" s="69">
        <v>1</v>
      </c>
      <c r="B35" s="70" t="s">
        <v>67</v>
      </c>
      <c r="C35" s="63">
        <v>5000</v>
      </c>
      <c r="D35" s="63">
        <v>5000</v>
      </c>
      <c r="E35" s="64" t="s">
        <v>85</v>
      </c>
      <c r="F35" s="60"/>
      <c r="G35" s="19"/>
    </row>
    <row r="36" spans="1:9" ht="30" customHeight="1" x14ac:dyDescent="0.3">
      <c r="A36" s="72" t="s">
        <v>119</v>
      </c>
      <c r="B36" s="73" t="s">
        <v>57</v>
      </c>
      <c r="C36" s="55">
        <f>SUM(C37:C37)</f>
        <v>20000</v>
      </c>
      <c r="D36" s="55">
        <f>SUM(D37:D37)</f>
        <v>20000</v>
      </c>
      <c r="E36" s="64"/>
      <c r="F36" s="60"/>
      <c r="G36" s="19"/>
    </row>
    <row r="37" spans="1:9" ht="30" customHeight="1" x14ac:dyDescent="0.3">
      <c r="A37" s="69" t="s">
        <v>45</v>
      </c>
      <c r="B37" s="70" t="s">
        <v>74</v>
      </c>
      <c r="C37" s="63">
        <v>20000</v>
      </c>
      <c r="D37" s="63">
        <v>20000</v>
      </c>
      <c r="E37" s="64" t="s">
        <v>85</v>
      </c>
      <c r="F37" s="60"/>
      <c r="G37" s="19"/>
    </row>
    <row r="38" spans="1:9" ht="30" customHeight="1" x14ac:dyDescent="0.3">
      <c r="A38" s="72" t="s">
        <v>120</v>
      </c>
      <c r="B38" s="68" t="s">
        <v>75</v>
      </c>
      <c r="C38" s="56">
        <f>C39</f>
        <v>500</v>
      </c>
      <c r="D38" s="56">
        <f>D39</f>
        <v>500</v>
      </c>
      <c r="E38" s="56"/>
      <c r="F38" s="60"/>
      <c r="G38" s="19"/>
    </row>
    <row r="39" spans="1:9" ht="60" customHeight="1" x14ac:dyDescent="0.3">
      <c r="A39" s="69">
        <v>1</v>
      </c>
      <c r="B39" s="70" t="s">
        <v>121</v>
      </c>
      <c r="C39" s="64">
        <v>500</v>
      </c>
      <c r="D39" s="64">
        <v>500</v>
      </c>
      <c r="E39" s="64" t="s">
        <v>86</v>
      </c>
      <c r="F39" s="60"/>
      <c r="G39" s="19"/>
    </row>
    <row r="40" spans="1:9" ht="30" customHeight="1" x14ac:dyDescent="0.3">
      <c r="A40" s="58" t="s">
        <v>122</v>
      </c>
      <c r="B40" s="67" t="s">
        <v>54</v>
      </c>
      <c r="C40" s="55">
        <f>C41</f>
        <v>81925</v>
      </c>
      <c r="D40" s="55">
        <f>D41</f>
        <v>81925</v>
      </c>
      <c r="E40" s="56"/>
      <c r="F40" s="60"/>
      <c r="G40" s="19"/>
    </row>
    <row r="41" spans="1:9" ht="30" customHeight="1" x14ac:dyDescent="0.3">
      <c r="A41" s="58"/>
      <c r="B41" s="67" t="s">
        <v>55</v>
      </c>
      <c r="C41" s="55">
        <f>SUM(C42:C52)</f>
        <v>81925</v>
      </c>
      <c r="D41" s="55">
        <f>SUM(D42:D52)</f>
        <v>81925</v>
      </c>
      <c r="E41" s="56"/>
      <c r="F41" s="60"/>
      <c r="G41" s="19"/>
    </row>
    <row r="42" spans="1:9" ht="50.1" customHeight="1" x14ac:dyDescent="0.3">
      <c r="A42" s="61">
        <v>1</v>
      </c>
      <c r="B42" s="74" t="s">
        <v>27</v>
      </c>
      <c r="C42" s="63">
        <v>13000</v>
      </c>
      <c r="D42" s="63">
        <v>13000</v>
      </c>
      <c r="E42" s="64" t="s">
        <v>85</v>
      </c>
      <c r="F42" s="60"/>
      <c r="G42" s="19"/>
    </row>
    <row r="43" spans="1:9" ht="50.1" customHeight="1" x14ac:dyDescent="0.3">
      <c r="A43" s="61">
        <v>2</v>
      </c>
      <c r="B43" s="74" t="s">
        <v>68</v>
      </c>
      <c r="C43" s="63">
        <v>14310</v>
      </c>
      <c r="D43" s="63">
        <v>14310</v>
      </c>
      <c r="E43" s="64" t="s">
        <v>85</v>
      </c>
      <c r="F43" s="60"/>
      <c r="G43" s="19"/>
    </row>
    <row r="44" spans="1:9" ht="50.1" customHeight="1" x14ac:dyDescent="0.3">
      <c r="A44" s="61">
        <v>3</v>
      </c>
      <c r="B44" s="74" t="s">
        <v>28</v>
      </c>
      <c r="C44" s="63">
        <v>10000</v>
      </c>
      <c r="D44" s="63">
        <v>10000</v>
      </c>
      <c r="E44" s="64" t="s">
        <v>85</v>
      </c>
      <c r="F44" s="60"/>
      <c r="G44" s="19"/>
    </row>
    <row r="45" spans="1:9" ht="50.1" customHeight="1" x14ac:dyDescent="0.3">
      <c r="A45" s="61">
        <v>4</v>
      </c>
      <c r="B45" s="74" t="s">
        <v>69</v>
      </c>
      <c r="C45" s="63">
        <v>25</v>
      </c>
      <c r="D45" s="63">
        <v>25</v>
      </c>
      <c r="E45" s="64" t="s">
        <v>85</v>
      </c>
      <c r="F45" s="60"/>
      <c r="G45" s="19"/>
    </row>
    <row r="46" spans="1:9" ht="50.1" customHeight="1" x14ac:dyDescent="0.3">
      <c r="A46" s="61">
        <v>5</v>
      </c>
      <c r="B46" s="74" t="s">
        <v>58</v>
      </c>
      <c r="C46" s="63">
        <v>50</v>
      </c>
      <c r="D46" s="63">
        <v>50</v>
      </c>
      <c r="E46" s="64" t="s">
        <v>85</v>
      </c>
      <c r="F46" s="46"/>
      <c r="G46" s="17"/>
      <c r="I46" s="20"/>
    </row>
    <row r="47" spans="1:9" ht="50.1" customHeight="1" x14ac:dyDescent="0.3">
      <c r="A47" s="61">
        <v>6</v>
      </c>
      <c r="B47" s="74" t="s">
        <v>123</v>
      </c>
      <c r="C47" s="63">
        <v>40</v>
      </c>
      <c r="D47" s="63">
        <v>40</v>
      </c>
      <c r="E47" s="64" t="s">
        <v>85</v>
      </c>
      <c r="F47" s="60"/>
      <c r="G47" s="17"/>
    </row>
    <row r="48" spans="1:9" ht="50.1" customHeight="1" x14ac:dyDescent="0.3">
      <c r="A48" s="61">
        <v>7</v>
      </c>
      <c r="B48" s="74" t="s">
        <v>70</v>
      </c>
      <c r="C48" s="63">
        <v>500</v>
      </c>
      <c r="D48" s="63">
        <v>500</v>
      </c>
      <c r="E48" s="64" t="s">
        <v>85</v>
      </c>
      <c r="F48" s="60"/>
      <c r="G48" s="17"/>
    </row>
    <row r="49" spans="1:7" ht="80.099999999999994" customHeight="1" x14ac:dyDescent="0.3">
      <c r="A49" s="61">
        <v>8</v>
      </c>
      <c r="B49" s="74" t="s">
        <v>39</v>
      </c>
      <c r="C49" s="63">
        <v>10000</v>
      </c>
      <c r="D49" s="63">
        <v>10000</v>
      </c>
      <c r="E49" s="64" t="s">
        <v>85</v>
      </c>
      <c r="F49" s="60"/>
      <c r="G49" s="17"/>
    </row>
    <row r="50" spans="1:7" ht="60" customHeight="1" x14ac:dyDescent="0.3">
      <c r="A50" s="61">
        <v>9</v>
      </c>
      <c r="B50" s="74" t="s">
        <v>71</v>
      </c>
      <c r="C50" s="63">
        <v>13000</v>
      </c>
      <c r="D50" s="63">
        <v>13000</v>
      </c>
      <c r="E50" s="64" t="s">
        <v>85</v>
      </c>
      <c r="F50" s="60"/>
      <c r="G50" s="17"/>
    </row>
    <row r="51" spans="1:7" ht="60" customHeight="1" x14ac:dyDescent="0.3">
      <c r="A51" s="61">
        <v>10</v>
      </c>
      <c r="B51" s="74" t="s">
        <v>72</v>
      </c>
      <c r="C51" s="63">
        <v>8000</v>
      </c>
      <c r="D51" s="63">
        <v>8000</v>
      </c>
      <c r="E51" s="64" t="s">
        <v>85</v>
      </c>
      <c r="F51" s="60"/>
      <c r="G51" s="17"/>
    </row>
    <row r="52" spans="1:7" ht="50.1" customHeight="1" x14ac:dyDescent="0.3">
      <c r="A52" s="61">
        <v>11</v>
      </c>
      <c r="B52" s="74" t="s">
        <v>96</v>
      </c>
      <c r="C52" s="63">
        <v>13000</v>
      </c>
      <c r="D52" s="63">
        <v>13000</v>
      </c>
      <c r="E52" s="64" t="s">
        <v>85</v>
      </c>
      <c r="F52" s="60"/>
      <c r="G52" s="17"/>
    </row>
    <row r="53" spans="1:7" ht="30" customHeight="1" x14ac:dyDescent="0.3">
      <c r="A53" s="53" t="s">
        <v>9</v>
      </c>
      <c r="B53" s="59" t="s">
        <v>44</v>
      </c>
      <c r="C53" s="55">
        <f>C54+C56+C60+C62+C64</f>
        <v>25000</v>
      </c>
      <c r="D53" s="55">
        <f>D54+D56+D60+D62+D64</f>
        <v>25000</v>
      </c>
      <c r="E53" s="64"/>
      <c r="F53" s="60"/>
      <c r="G53" s="17"/>
    </row>
    <row r="54" spans="1:7" ht="30" customHeight="1" x14ac:dyDescent="0.3">
      <c r="A54" s="53" t="s">
        <v>17</v>
      </c>
      <c r="B54" s="59" t="s">
        <v>43</v>
      </c>
      <c r="C54" s="55">
        <f>SUM(C55:C55)</f>
        <v>1000</v>
      </c>
      <c r="D54" s="55">
        <f>SUM(D55:D55)</f>
        <v>1000</v>
      </c>
      <c r="E54" s="64"/>
      <c r="F54" s="75"/>
      <c r="G54" s="17"/>
    </row>
    <row r="55" spans="1:7" ht="50.1" customHeight="1" x14ac:dyDescent="0.3">
      <c r="A55" s="69">
        <v>1</v>
      </c>
      <c r="B55" s="65" t="s">
        <v>73</v>
      </c>
      <c r="C55" s="63">
        <v>1000</v>
      </c>
      <c r="D55" s="63">
        <v>1000</v>
      </c>
      <c r="E55" s="64" t="s">
        <v>85</v>
      </c>
      <c r="F55" s="60"/>
      <c r="G55" s="17"/>
    </row>
    <row r="56" spans="1:7" ht="30" customHeight="1" x14ac:dyDescent="0.3">
      <c r="A56" s="58" t="s">
        <v>18</v>
      </c>
      <c r="B56" s="76" t="s">
        <v>52</v>
      </c>
      <c r="C56" s="55">
        <f>SUM(C57:C59)</f>
        <v>13400</v>
      </c>
      <c r="D56" s="55">
        <f>SUM(D57:D59)</f>
        <v>13400</v>
      </c>
      <c r="E56" s="56"/>
      <c r="F56" s="57"/>
      <c r="G56" s="17"/>
    </row>
    <row r="57" spans="1:7" ht="50.1" customHeight="1" x14ac:dyDescent="0.3">
      <c r="A57" s="61">
        <v>1</v>
      </c>
      <c r="B57" s="65" t="s">
        <v>124</v>
      </c>
      <c r="C57" s="63">
        <v>5000</v>
      </c>
      <c r="D57" s="63">
        <v>5000</v>
      </c>
      <c r="E57" s="64" t="s">
        <v>85</v>
      </c>
      <c r="F57" s="77"/>
      <c r="G57" s="17"/>
    </row>
    <row r="58" spans="1:7" ht="50.1" customHeight="1" x14ac:dyDescent="0.3">
      <c r="A58" s="61">
        <v>2</v>
      </c>
      <c r="B58" s="65" t="s">
        <v>125</v>
      </c>
      <c r="C58" s="63">
        <v>5000</v>
      </c>
      <c r="D58" s="63">
        <v>5000</v>
      </c>
      <c r="E58" s="64" t="s">
        <v>85</v>
      </c>
      <c r="F58" s="77"/>
      <c r="G58" s="17"/>
    </row>
    <row r="59" spans="1:7" ht="50.1" customHeight="1" x14ac:dyDescent="0.3">
      <c r="A59" s="61">
        <v>3</v>
      </c>
      <c r="B59" s="65" t="s">
        <v>126</v>
      </c>
      <c r="C59" s="63">
        <v>3400</v>
      </c>
      <c r="D59" s="63">
        <v>3400</v>
      </c>
      <c r="E59" s="64" t="s">
        <v>85</v>
      </c>
      <c r="F59" s="77"/>
      <c r="G59" s="17"/>
    </row>
    <row r="60" spans="1:7" ht="30" customHeight="1" x14ac:dyDescent="0.3">
      <c r="A60" s="66" t="s">
        <v>19</v>
      </c>
      <c r="B60" s="73" t="s">
        <v>127</v>
      </c>
      <c r="C60" s="55">
        <f>C61</f>
        <v>3000</v>
      </c>
      <c r="D60" s="55">
        <f>D61</f>
        <v>3000</v>
      </c>
      <c r="E60" s="56"/>
      <c r="F60" s="78"/>
      <c r="G60" s="17"/>
    </row>
    <row r="61" spans="1:7" ht="30" customHeight="1" x14ac:dyDescent="0.3">
      <c r="A61" s="61">
        <v>1</v>
      </c>
      <c r="B61" s="65" t="s">
        <v>95</v>
      </c>
      <c r="C61" s="63">
        <v>3000</v>
      </c>
      <c r="D61" s="63">
        <v>3000</v>
      </c>
      <c r="E61" s="64" t="s">
        <v>85</v>
      </c>
      <c r="F61" s="57"/>
      <c r="G61" s="17"/>
    </row>
    <row r="62" spans="1:7" ht="30" customHeight="1" x14ac:dyDescent="0.3">
      <c r="A62" s="66" t="s">
        <v>40</v>
      </c>
      <c r="B62" s="73" t="s">
        <v>128</v>
      </c>
      <c r="C62" s="55">
        <f>C63</f>
        <v>6000</v>
      </c>
      <c r="D62" s="55">
        <f>D63</f>
        <v>6000</v>
      </c>
      <c r="E62" s="64"/>
      <c r="F62" s="57"/>
      <c r="G62" s="17"/>
    </row>
    <row r="63" spans="1:7" ht="50.1" customHeight="1" x14ac:dyDescent="0.3">
      <c r="A63" s="61">
        <v>1</v>
      </c>
      <c r="B63" s="65" t="s">
        <v>129</v>
      </c>
      <c r="C63" s="63">
        <v>6000</v>
      </c>
      <c r="D63" s="63">
        <v>6000</v>
      </c>
      <c r="E63" s="64" t="s">
        <v>85</v>
      </c>
      <c r="F63" s="79"/>
      <c r="G63" s="17"/>
    </row>
    <row r="64" spans="1:7" ht="30" customHeight="1" x14ac:dyDescent="0.3">
      <c r="A64" s="66" t="s">
        <v>105</v>
      </c>
      <c r="B64" s="73" t="s">
        <v>75</v>
      </c>
      <c r="C64" s="55">
        <f>C65</f>
        <v>1600</v>
      </c>
      <c r="D64" s="55">
        <f>D65</f>
        <v>1600</v>
      </c>
      <c r="E64" s="56"/>
      <c r="F64" s="80"/>
      <c r="G64" s="17"/>
    </row>
    <row r="65" spans="1:7" ht="50.1" customHeight="1" x14ac:dyDescent="0.3">
      <c r="A65" s="69">
        <v>1</v>
      </c>
      <c r="B65" s="70" t="s">
        <v>130</v>
      </c>
      <c r="C65" s="64">
        <f>SUM(C66:C70)</f>
        <v>1600</v>
      </c>
      <c r="D65" s="64">
        <f>SUM(D66:D70)</f>
        <v>1600</v>
      </c>
      <c r="E65" s="64" t="s">
        <v>86</v>
      </c>
      <c r="F65" s="80"/>
      <c r="G65" s="17"/>
    </row>
    <row r="66" spans="1:7" ht="30" customHeight="1" x14ac:dyDescent="0.3">
      <c r="A66" s="69" t="s">
        <v>107</v>
      </c>
      <c r="B66" s="70" t="s">
        <v>91</v>
      </c>
      <c r="C66" s="64">
        <v>500</v>
      </c>
      <c r="D66" s="64">
        <v>500</v>
      </c>
      <c r="E66" s="64"/>
      <c r="F66" s="81"/>
      <c r="G66" s="17"/>
    </row>
    <row r="67" spans="1:7" ht="30" customHeight="1" x14ac:dyDescent="0.3">
      <c r="A67" s="69" t="s">
        <v>107</v>
      </c>
      <c r="B67" s="70" t="s">
        <v>94</v>
      </c>
      <c r="C67" s="64">
        <v>500</v>
      </c>
      <c r="D67" s="64">
        <v>500</v>
      </c>
      <c r="E67" s="64"/>
      <c r="F67" s="81"/>
      <c r="G67" s="17"/>
    </row>
    <row r="68" spans="1:7" ht="30" customHeight="1" x14ac:dyDescent="0.3">
      <c r="A68" s="69" t="s">
        <v>107</v>
      </c>
      <c r="B68" s="70" t="s">
        <v>89</v>
      </c>
      <c r="C68" s="64">
        <v>200</v>
      </c>
      <c r="D68" s="64">
        <v>200</v>
      </c>
      <c r="E68" s="64"/>
      <c r="F68" s="81"/>
      <c r="G68" s="17"/>
    </row>
    <row r="69" spans="1:7" ht="30" customHeight="1" x14ac:dyDescent="0.3">
      <c r="A69" s="69" t="s">
        <v>107</v>
      </c>
      <c r="B69" s="70" t="s">
        <v>87</v>
      </c>
      <c r="C69" s="64">
        <v>200</v>
      </c>
      <c r="D69" s="64">
        <v>200</v>
      </c>
      <c r="E69" s="64"/>
      <c r="F69" s="81"/>
      <c r="G69" s="17"/>
    </row>
    <row r="70" spans="1:7" ht="30" customHeight="1" x14ac:dyDescent="0.3">
      <c r="A70" s="69" t="s">
        <v>107</v>
      </c>
      <c r="B70" s="70" t="s">
        <v>93</v>
      </c>
      <c r="C70" s="64">
        <v>200</v>
      </c>
      <c r="D70" s="64">
        <v>200</v>
      </c>
      <c r="E70" s="64"/>
      <c r="F70" s="81"/>
      <c r="G70" s="17"/>
    </row>
    <row r="71" spans="1:7" ht="30" customHeight="1" x14ac:dyDescent="0.3">
      <c r="A71" s="53" t="s">
        <v>11</v>
      </c>
      <c r="B71" s="54" t="s">
        <v>131</v>
      </c>
      <c r="C71" s="55">
        <v>20000</v>
      </c>
      <c r="D71" s="55">
        <v>20000</v>
      </c>
      <c r="E71" s="64" t="s">
        <v>138</v>
      </c>
      <c r="F71" s="80"/>
      <c r="G71" s="17"/>
    </row>
    <row r="72" spans="1:7" ht="30" customHeight="1" x14ac:dyDescent="0.3">
      <c r="A72" s="53" t="s">
        <v>13</v>
      </c>
      <c r="B72" s="54" t="s">
        <v>59</v>
      </c>
      <c r="C72" s="55">
        <f>C73</f>
        <v>11000</v>
      </c>
      <c r="D72" s="55">
        <f>D73</f>
        <v>11000</v>
      </c>
      <c r="E72" s="56"/>
      <c r="F72" s="81"/>
    </row>
    <row r="73" spans="1:7" ht="30" customHeight="1" x14ac:dyDescent="0.3">
      <c r="A73" s="82"/>
      <c r="B73" s="83" t="s">
        <v>44</v>
      </c>
      <c r="C73" s="55">
        <f>C74</f>
        <v>11000</v>
      </c>
      <c r="D73" s="55">
        <f>D74</f>
        <v>11000</v>
      </c>
      <c r="E73" s="56"/>
      <c r="F73" s="81"/>
    </row>
    <row r="74" spans="1:7" ht="50.1" customHeight="1" x14ac:dyDescent="0.3">
      <c r="A74" s="84" t="s">
        <v>45</v>
      </c>
      <c r="B74" s="71" t="s">
        <v>73</v>
      </c>
      <c r="C74" s="63">
        <v>11000</v>
      </c>
      <c r="D74" s="63">
        <v>11000</v>
      </c>
      <c r="E74" s="64" t="s">
        <v>85</v>
      </c>
      <c r="F74" s="81"/>
    </row>
    <row r="75" spans="1:7" ht="30" customHeight="1" x14ac:dyDescent="0.3">
      <c r="A75" s="82" t="s">
        <v>14</v>
      </c>
      <c r="B75" s="83" t="s">
        <v>132</v>
      </c>
      <c r="C75" s="50">
        <f>C76+C85</f>
        <v>5943.1999999999989</v>
      </c>
      <c r="D75" s="50">
        <f>D76+D85</f>
        <v>5943.1999999999989</v>
      </c>
      <c r="E75" s="64"/>
      <c r="F75" s="81"/>
    </row>
    <row r="76" spans="1:7" ht="50.1" customHeight="1" x14ac:dyDescent="0.3">
      <c r="A76" s="84" t="s">
        <v>45</v>
      </c>
      <c r="B76" s="71" t="s">
        <v>108</v>
      </c>
      <c r="C76" s="85">
        <f>SUM(C77:C84)</f>
        <v>5825.1999999999989</v>
      </c>
      <c r="D76" s="85">
        <f>SUM(D77:D84)</f>
        <v>5825.1999999999989</v>
      </c>
      <c r="E76" s="64"/>
      <c r="F76" s="81"/>
    </row>
    <row r="77" spans="1:7" ht="50.1" customHeight="1" x14ac:dyDescent="0.3">
      <c r="A77" s="84" t="s">
        <v>107</v>
      </c>
      <c r="B77" s="86" t="s">
        <v>133</v>
      </c>
      <c r="C77" s="85">
        <v>728.15</v>
      </c>
      <c r="D77" s="85">
        <v>728.15</v>
      </c>
      <c r="E77" s="84" t="s">
        <v>89</v>
      </c>
      <c r="F77" s="81"/>
    </row>
    <row r="78" spans="1:7" ht="50.1" customHeight="1" x14ac:dyDescent="0.3">
      <c r="A78" s="84" t="s">
        <v>107</v>
      </c>
      <c r="B78" s="86" t="s">
        <v>77</v>
      </c>
      <c r="C78" s="85">
        <v>728.15</v>
      </c>
      <c r="D78" s="85">
        <v>728.15</v>
      </c>
      <c r="E78" s="84" t="s">
        <v>88</v>
      </c>
      <c r="F78" s="81"/>
    </row>
    <row r="79" spans="1:7" ht="50.1" customHeight="1" x14ac:dyDescent="0.3">
      <c r="A79" s="84" t="s">
        <v>107</v>
      </c>
      <c r="B79" s="86" t="s">
        <v>76</v>
      </c>
      <c r="C79" s="85">
        <v>728.15</v>
      </c>
      <c r="D79" s="85">
        <v>728.15</v>
      </c>
      <c r="E79" s="84" t="s">
        <v>87</v>
      </c>
      <c r="F79" s="81"/>
    </row>
    <row r="80" spans="1:7" ht="50.1" customHeight="1" x14ac:dyDescent="0.3">
      <c r="A80" s="84" t="s">
        <v>107</v>
      </c>
      <c r="B80" s="86" t="s">
        <v>78</v>
      </c>
      <c r="C80" s="85">
        <v>728.15</v>
      </c>
      <c r="D80" s="85">
        <v>728.15</v>
      </c>
      <c r="E80" s="84" t="s">
        <v>91</v>
      </c>
      <c r="F80" s="81"/>
    </row>
    <row r="81" spans="1:6" ht="50.1" customHeight="1" x14ac:dyDescent="0.3">
      <c r="A81" s="84" t="s">
        <v>107</v>
      </c>
      <c r="B81" s="86" t="s">
        <v>134</v>
      </c>
      <c r="C81" s="85">
        <v>728.15</v>
      </c>
      <c r="D81" s="85">
        <v>728.15</v>
      </c>
      <c r="E81" s="84" t="s">
        <v>90</v>
      </c>
      <c r="F81" s="81"/>
    </row>
    <row r="82" spans="1:6" ht="50.1" customHeight="1" x14ac:dyDescent="0.3">
      <c r="A82" s="84" t="s">
        <v>107</v>
      </c>
      <c r="B82" s="86" t="s">
        <v>80</v>
      </c>
      <c r="C82" s="85">
        <v>728.15</v>
      </c>
      <c r="D82" s="85">
        <v>728.15</v>
      </c>
      <c r="E82" s="84" t="s">
        <v>92</v>
      </c>
      <c r="F82" s="81"/>
    </row>
    <row r="83" spans="1:6" ht="50.1" customHeight="1" x14ac:dyDescent="0.3">
      <c r="A83" s="84" t="s">
        <v>107</v>
      </c>
      <c r="B83" s="86" t="s">
        <v>81</v>
      </c>
      <c r="C83" s="85">
        <v>728.15</v>
      </c>
      <c r="D83" s="85">
        <v>728.15</v>
      </c>
      <c r="E83" s="84" t="s">
        <v>93</v>
      </c>
      <c r="F83" s="81"/>
    </row>
    <row r="84" spans="1:6" ht="50.1" customHeight="1" x14ac:dyDescent="0.3">
      <c r="A84" s="84" t="s">
        <v>107</v>
      </c>
      <c r="B84" s="86" t="s">
        <v>82</v>
      </c>
      <c r="C84" s="85">
        <v>728.15</v>
      </c>
      <c r="D84" s="85">
        <v>728.15</v>
      </c>
      <c r="E84" s="84" t="s">
        <v>94</v>
      </c>
      <c r="F84" s="81"/>
    </row>
    <row r="85" spans="1:6" ht="80.099999999999994" customHeight="1" x14ac:dyDescent="0.3">
      <c r="A85" s="84" t="s">
        <v>61</v>
      </c>
      <c r="B85" s="71" t="s">
        <v>135</v>
      </c>
      <c r="C85" s="63">
        <f>SUM(C86:C87)</f>
        <v>118</v>
      </c>
      <c r="D85" s="63">
        <f>SUM(D86:D87)</f>
        <v>118</v>
      </c>
      <c r="E85" s="64"/>
      <c r="F85" s="81"/>
    </row>
    <row r="86" spans="1:6" ht="50.1" customHeight="1" x14ac:dyDescent="0.3">
      <c r="A86" s="84" t="s">
        <v>107</v>
      </c>
      <c r="B86" s="71" t="s">
        <v>83</v>
      </c>
      <c r="C86" s="63">
        <v>44</v>
      </c>
      <c r="D86" s="63">
        <v>44</v>
      </c>
      <c r="E86" s="84" t="s">
        <v>94</v>
      </c>
      <c r="F86" s="81"/>
    </row>
    <row r="87" spans="1:6" ht="60" customHeight="1" x14ac:dyDescent="0.3">
      <c r="A87" s="84" t="s">
        <v>107</v>
      </c>
      <c r="B87" s="71" t="s">
        <v>84</v>
      </c>
      <c r="C87" s="63">
        <v>74</v>
      </c>
      <c r="D87" s="63">
        <v>74</v>
      </c>
      <c r="E87" s="84" t="s">
        <v>94</v>
      </c>
      <c r="F87" s="81"/>
    </row>
    <row r="88" spans="1:6" ht="60" customHeight="1" x14ac:dyDescent="0.3">
      <c r="A88" s="82" t="s">
        <v>109</v>
      </c>
      <c r="B88" s="83" t="s">
        <v>136</v>
      </c>
      <c r="C88" s="55">
        <v>2200</v>
      </c>
      <c r="D88" s="55">
        <v>2200</v>
      </c>
      <c r="E88" s="56"/>
      <c r="F88" s="81"/>
    </row>
  </sheetData>
  <mergeCells count="6">
    <mergeCell ref="D1:F1"/>
    <mergeCell ref="A2:F2"/>
    <mergeCell ref="A3:F3"/>
    <mergeCell ref="A4:F4"/>
    <mergeCell ref="E6:F6"/>
    <mergeCell ref="A5:F5"/>
  </mergeCells>
  <pageMargins left="0.511811023622047" right="0.31496062992126" top="0.55118110236220497" bottom="0.35433070866141703" header="0.31496062992126" footer="0.31496062992126"/>
  <pageSetup paperSize="9" scale="82" orientation="portrait" verticalDpi="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Mãu 3</vt:lpstr>
      <vt:lpstr>Mẫu 2</vt:lpstr>
      <vt:lpstr>mãu 4</vt:lpstr>
      <vt:lpstr>MẪU 01-2024</vt:lpstr>
      <vt:lpstr>'Mãu 3'!chuong_pl_3</vt:lpstr>
      <vt:lpstr>'Mãu 3'!chuong_pl_3_name</vt:lpstr>
      <vt:lpstr>'mãu 4'!chuong_pl_4</vt:lpstr>
      <vt:lpstr>'mãu 4'!chuong_pl_4_name</vt:lpstr>
      <vt:lpstr>'mãu 4'!chuong_pl_4_name_name</vt:lpstr>
      <vt:lpstr>'MẪU 01-2024'!Print_Titles</vt:lpstr>
      <vt:lpstr>'Mãu 3'!Print_Titles</vt:lpstr>
      <vt:lpstr>'mãu 4'!Print_Titles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cp:lastModifiedBy>
  <cp:lastPrinted>2024-05-29T01:08:19Z</cp:lastPrinted>
  <dcterms:created xsi:type="dcterms:W3CDTF">2020-07-08T02:48:01Z</dcterms:created>
  <dcterms:modified xsi:type="dcterms:W3CDTF">2024-05-29T01:08:23Z</dcterms:modified>
</cp:coreProperties>
</file>